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bookViews>
    <workbookView xWindow="0" yWindow="0" windowWidth="20490" windowHeight="7800" firstSheet="1" activeTab="3"/>
  </bookViews>
  <sheets>
    <sheet name="Project Account" sheetId="2" r:id="rId1"/>
    <sheet name="StudentMember (BAU) Account" sheetId="1" r:id="rId2"/>
    <sheet name="Project Account - 2020" sheetId="3" r:id="rId3"/>
    <sheet name="Students Account - 2020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4" l="1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0" i="4"/>
  <c r="R19" i="4"/>
  <c r="R18" i="4"/>
  <c r="R17" i="4"/>
  <c r="R16" i="4"/>
  <c r="R15" i="4"/>
  <c r="R14" i="4"/>
  <c r="R13" i="4"/>
  <c r="R12" i="4"/>
  <c r="R11" i="4"/>
  <c r="R10" i="4"/>
  <c r="R8" i="4"/>
  <c r="R7" i="4"/>
  <c r="R21" i="4" s="1"/>
  <c r="M67" i="3"/>
  <c r="L67" i="3"/>
  <c r="K67" i="3"/>
  <c r="J67" i="3"/>
  <c r="I67" i="3"/>
  <c r="H67" i="3"/>
  <c r="G67" i="3"/>
  <c r="F67" i="3"/>
  <c r="E67" i="3"/>
  <c r="D67" i="3"/>
  <c r="C67" i="3"/>
  <c r="D69" i="3" s="1"/>
  <c r="E69" i="3" s="1"/>
  <c r="F69" i="3" s="1"/>
  <c r="G69" i="3" s="1"/>
  <c r="H69" i="3" s="1"/>
  <c r="I69" i="3" s="1"/>
  <c r="J69" i="3" s="1"/>
  <c r="K69" i="3" s="1"/>
  <c r="L69" i="3" s="1"/>
  <c r="M69" i="3" s="1"/>
  <c r="N65" i="3"/>
  <c r="N64" i="3"/>
  <c r="N63" i="3"/>
  <c r="N62" i="3"/>
  <c r="N61" i="3"/>
  <c r="N60" i="3"/>
  <c r="N55" i="3"/>
  <c r="N54" i="3"/>
  <c r="N53" i="3"/>
  <c r="N52" i="3"/>
  <c r="N51" i="3"/>
  <c r="N44" i="3"/>
  <c r="N43" i="3"/>
  <c r="N42" i="3"/>
  <c r="N41" i="3"/>
  <c r="N40" i="3"/>
  <c r="N39" i="3"/>
  <c r="N38" i="3"/>
  <c r="N37" i="3"/>
  <c r="N36" i="3"/>
  <c r="N35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3" i="3"/>
  <c r="N12" i="3"/>
  <c r="N11" i="3"/>
  <c r="N10" i="3"/>
  <c r="N9" i="3"/>
  <c r="N67" i="3" s="1"/>
  <c r="O12" i="1" l="1"/>
  <c r="O13" i="1"/>
  <c r="O14" i="1"/>
  <c r="O15" i="1"/>
  <c r="O16" i="1"/>
  <c r="O17" i="1"/>
  <c r="O18" i="1"/>
  <c r="O19" i="1"/>
  <c r="O20" i="1"/>
  <c r="O21" i="1"/>
  <c r="O22" i="1"/>
  <c r="O23" i="1"/>
  <c r="O8" i="1"/>
  <c r="O9" i="1"/>
  <c r="O11" i="1"/>
  <c r="M11" i="1"/>
  <c r="N11" i="1"/>
  <c r="L11" i="1"/>
  <c r="O62" i="2" l="1"/>
  <c r="O63" i="2"/>
  <c r="O64" i="2"/>
  <c r="O65" i="2"/>
  <c r="O56" i="2"/>
  <c r="O57" i="2"/>
  <c r="O58" i="2"/>
  <c r="O59" i="2"/>
  <c r="O47" i="2"/>
  <c r="O48" i="2"/>
  <c r="O50" i="2"/>
  <c r="O31" i="2"/>
  <c r="O32" i="2"/>
  <c r="O33" i="2"/>
  <c r="O34" i="2"/>
  <c r="O35" i="2"/>
  <c r="O36" i="2"/>
  <c r="O37" i="2"/>
  <c r="O38" i="2"/>
  <c r="O39" i="2"/>
  <c r="O18" i="2"/>
  <c r="O19" i="2"/>
  <c r="O20" i="2"/>
  <c r="O21" i="2"/>
  <c r="O22" i="2"/>
  <c r="O23" i="2"/>
  <c r="O24" i="2"/>
  <c r="O10" i="2"/>
  <c r="O11" i="2"/>
  <c r="O12" i="2"/>
  <c r="O13" i="2"/>
  <c r="G22" i="1" l="1"/>
  <c r="H22" i="1"/>
  <c r="I22" i="1"/>
  <c r="J22" i="1"/>
  <c r="K22" i="1"/>
  <c r="L22" i="1"/>
  <c r="M22" i="1"/>
  <c r="M25" i="1" s="1"/>
  <c r="N22" i="1"/>
  <c r="N25" i="1" s="1"/>
  <c r="C22" i="1"/>
  <c r="D22" i="1"/>
  <c r="E22" i="1"/>
  <c r="F22" i="1"/>
  <c r="O7" i="1"/>
  <c r="O61" i="2"/>
  <c r="N67" i="2" l="1"/>
  <c r="M67" i="2"/>
  <c r="L67" i="2"/>
  <c r="K67" i="2"/>
  <c r="O55" i="2"/>
  <c r="J67" i="2"/>
  <c r="I49" i="2"/>
  <c r="I67" i="2" s="1"/>
  <c r="H49" i="2"/>
  <c r="H67" i="2" s="1"/>
  <c r="G49" i="2"/>
  <c r="G67" i="2" s="1"/>
  <c r="F49" i="2"/>
  <c r="F67" i="2" s="1"/>
  <c r="E49" i="2"/>
  <c r="E67" i="2" s="1"/>
  <c r="D49" i="2"/>
  <c r="D67" i="2" s="1"/>
  <c r="C49" i="2"/>
  <c r="O46" i="2"/>
  <c r="O30" i="2"/>
  <c r="O17" i="2"/>
  <c r="O9" i="2"/>
  <c r="B25" i="1"/>
  <c r="L25" i="1"/>
  <c r="K25" i="1"/>
  <c r="J25" i="1"/>
  <c r="I25" i="1"/>
  <c r="H25" i="1"/>
  <c r="G25" i="1"/>
  <c r="F25" i="1"/>
  <c r="E25" i="1"/>
  <c r="D25" i="1"/>
  <c r="C25" i="1"/>
  <c r="O25" i="1"/>
  <c r="O49" i="2" l="1"/>
  <c r="O67" i="2" s="1"/>
  <c r="D26" i="1"/>
  <c r="C67" i="2"/>
  <c r="D69" i="2" s="1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E26" i="1"/>
  <c r="F26" i="1" s="1"/>
  <c r="G26" i="1" s="1"/>
  <c r="H26" i="1" s="1"/>
  <c r="I26" i="1" s="1"/>
  <c r="J26" i="1" s="1"/>
  <c r="K26" i="1" s="1"/>
  <c r="L26" i="1" s="1"/>
  <c r="M26" i="1" s="1"/>
  <c r="N26" i="1" s="1"/>
</calcChain>
</file>

<file path=xl/comments1.xml><?xml version="1.0" encoding="utf-8"?>
<comments xmlns="http://schemas.openxmlformats.org/spreadsheetml/2006/main">
  <authors>
    <author>Aibek</author>
  </authors>
  <commentList>
    <comment ref="D5" authorId="0" shapeId="0">
      <text>
        <r>
          <rPr>
            <b/>
            <sz val="12"/>
            <color indexed="81"/>
            <rFont val="Tahoma"/>
            <family val="2"/>
            <charset val="204"/>
          </rPr>
          <t>Aibek:</t>
        </r>
        <r>
          <rPr>
            <sz val="12"/>
            <color indexed="81"/>
            <rFont val="Tahoma"/>
            <family val="2"/>
            <charset val="204"/>
          </rPr>
          <t xml:space="preserve">
Phase 2 extension money will hit the account starting Feb</t>
        </r>
      </text>
    </comment>
  </commentList>
</comments>
</file>

<file path=xl/sharedStrings.xml><?xml version="1.0" encoding="utf-8"?>
<sst xmlns="http://schemas.openxmlformats.org/spreadsheetml/2006/main" count="280" uniqueCount="157">
  <si>
    <t xml:space="preserve">CILT Kazakhstan </t>
  </si>
  <si>
    <t>Students account</t>
  </si>
  <si>
    <t>Oct</t>
  </si>
  <si>
    <t>Jan</t>
  </si>
  <si>
    <t>Feb</t>
  </si>
  <si>
    <t>March</t>
  </si>
  <si>
    <t>April</t>
  </si>
  <si>
    <t>May</t>
  </si>
  <si>
    <t>June</t>
  </si>
  <si>
    <t>July</t>
  </si>
  <si>
    <t>Sept</t>
  </si>
  <si>
    <t>Aug</t>
  </si>
  <si>
    <t>Show a predicted model for Sept- March inclusive *</t>
  </si>
  <si>
    <t xml:space="preserve">Opening balance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</si>
  <si>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</si>
  <si>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</si>
  <si>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</si>
  <si>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</si>
  <si>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</si>
  <si>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</si>
  <si>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</si>
  <si>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</si>
  <si>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</si>
  <si>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</si>
  <si>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</si>
  <si>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</si>
  <si>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</si>
  <si>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</si>
  <si>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</si>
  <si>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</si>
  <si>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</si>
  <si>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</si>
  <si>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</si>
  <si>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</si>
  <si>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</si>
  <si>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</si>
  <si>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TOTAL</t>
  </si>
  <si>
    <t>Notes</t>
  </si>
  <si>
    <t>Revenue from Level 5 Diploma Students (English and Russian Diploma)</t>
  </si>
  <si>
    <t>Student registration fee + 20% Tax</t>
  </si>
  <si>
    <t>Training room rent</t>
  </si>
  <si>
    <t>Trainers salary (including Tax)</t>
  </si>
  <si>
    <t>Additional adaptation of training materials</t>
  </si>
  <si>
    <t>Miscellaneous (marketing materials, printing, certficates, certificate frames, business lunches, business gifts, furniture, office renovation,  travel)</t>
  </si>
  <si>
    <t>Accounting services</t>
  </si>
  <si>
    <t>Bank fees (transaction fees - local and International)</t>
  </si>
  <si>
    <t>Taxes</t>
  </si>
  <si>
    <t>Membership for 2021</t>
  </si>
  <si>
    <t xml:space="preserve">Costs and expenses </t>
  </si>
  <si>
    <t>Cashflow</t>
  </si>
  <si>
    <t xml:space="preserve"> </t>
  </si>
  <si>
    <t>August</t>
  </si>
  <si>
    <t>September</t>
  </si>
  <si>
    <t>October</t>
  </si>
  <si>
    <t>November</t>
  </si>
  <si>
    <t>December</t>
  </si>
  <si>
    <t>January 2021</t>
  </si>
  <si>
    <t>Мay 2021</t>
  </si>
  <si>
    <t>-</t>
  </si>
  <si>
    <t xml:space="preserve">Opening balance at with CILT Kaz at 1/9/20 </t>
  </si>
  <si>
    <t>Workstream 1</t>
  </si>
  <si>
    <t>Develop trainer pool</t>
  </si>
  <si>
    <t>Develop road map</t>
  </si>
  <si>
    <t>Translation of new materials</t>
  </si>
  <si>
    <t>Modules translated: 
M1-L2, M1-L3, M2-L3, DIP05, DIP10, DIP 13
Planning to translate 5 more modules</t>
  </si>
  <si>
    <t>Adaptation of the translated materials</t>
  </si>
  <si>
    <t>This includes adaptation of Phase 1 and 2 materials</t>
  </si>
  <si>
    <t>Academic trainer supporting activities in organizing CILT courses</t>
  </si>
  <si>
    <t>Marketing campaign, promotion programme &amp; marketing materials (banners, brochures and etc.), including purchasing an equipment (printer, papers and etc.)</t>
  </si>
  <si>
    <t>Website and Marketing tool on CILT Kaz website development and website support service</t>
  </si>
  <si>
    <t>Networking events (master classes, seminars, round tables and etc)</t>
  </si>
  <si>
    <t xml:space="preserve">Key savings here </t>
  </si>
  <si>
    <t>Workstream  2</t>
  </si>
  <si>
    <t xml:space="preserve">Key savings put in this stream </t>
  </si>
  <si>
    <t>Implementation of CILT Membership full services (career support services, legal support services)</t>
  </si>
  <si>
    <t>Implement CILT Int standards and accreditation</t>
  </si>
  <si>
    <t>CILT brand recognition strategy and model development / Marketing activities including Translation of marketing materials</t>
  </si>
  <si>
    <t>This includes promoting Instagram, Facebook, YouTube accounts using third-party services, sponsoring activities, translation of brand videos and materials, developing content by third-party providers and etc. On average $750 a month</t>
  </si>
  <si>
    <t>Develop formal partnerships with institutions</t>
  </si>
  <si>
    <t>Establishment of Central Asian Hub</t>
  </si>
  <si>
    <t>CILT Int Webinars- Translation, Dubbing</t>
  </si>
  <si>
    <t>CILT Kaz Webinars - Organization expenses</t>
  </si>
  <si>
    <t>CILT Newsletters - Bulletins and Local Newsletters</t>
  </si>
  <si>
    <t>Workstream 3</t>
  </si>
  <si>
    <t>Build an "off the shelf" consultancy model for BSP's to use</t>
  </si>
  <si>
    <t>Train BSPs in consultancy model and best practice</t>
  </si>
  <si>
    <t>Develop roadmap with BSP's and build support mechanism</t>
  </si>
  <si>
    <t>BSP Marketing including Translation of materials</t>
  </si>
  <si>
    <t>General Expenses</t>
  </si>
  <si>
    <t>Almaty office rent</t>
  </si>
  <si>
    <t>Open since Sept 2019</t>
  </si>
  <si>
    <t>Travel and expenses</t>
  </si>
  <si>
    <t>Infrastructure for carrying out training, coffee break</t>
  </si>
  <si>
    <t>CILT International contributions (20% tax included)</t>
  </si>
  <si>
    <t>Total</t>
  </si>
  <si>
    <t xml:space="preserve">$1 = 450 kzt - February - May
$1 = 415 kzt - June - July
$1 = 420 kzt - August 
$1 = 430 kzt - Sept - Oct </t>
  </si>
  <si>
    <t>Subscriptions - (Zoom, website hosting, Cloud, YouTube marketing,  LinkedIn)</t>
  </si>
  <si>
    <t xml:space="preserve">                                  </t>
  </si>
  <si>
    <t>Leftover from 2020 Opening balance</t>
  </si>
  <si>
    <t xml:space="preserve">DAI Payments when it received in bank </t>
  </si>
  <si>
    <t>Revenue from Phase 2 activities Corporate Membership and BSP revenue</t>
  </si>
  <si>
    <t>WiLAT activities (total budget $13200)</t>
  </si>
  <si>
    <t>Next Generation (total budget $5000)</t>
  </si>
  <si>
    <t>Financial support for organisations - Payment to advisors for consultations services</t>
  </si>
  <si>
    <t>Astana office rent</t>
  </si>
  <si>
    <t>CILT Kazakhstan Project Management, tax included</t>
  </si>
  <si>
    <t>Aibek Kurmanov</t>
  </si>
  <si>
    <t>Erbol Muhaev</t>
  </si>
  <si>
    <t>Arai Maratkyzy</t>
  </si>
  <si>
    <t>Part-time employees and Buffer funds for salary coverage (safety funds)</t>
  </si>
  <si>
    <t>Nov</t>
  </si>
  <si>
    <t>Dec</t>
  </si>
  <si>
    <t>26</t>
  </si>
  <si>
    <t>27</t>
  </si>
  <si>
    <t>Financial Audit for CILT international</t>
  </si>
  <si>
    <t xml:space="preserve">Total monthly costs and expenses </t>
  </si>
  <si>
    <t xml:space="preserve">
$1 = 420 kzt - 2021</t>
  </si>
  <si>
    <t xml:space="preserve">Forecasted Student Account  plus Actuals for Membership </t>
  </si>
  <si>
    <r>
      <rPr>
        <b/>
        <sz val="18"/>
        <color rgb="FFFF0000"/>
        <rFont val="Calibri"/>
        <family val="2"/>
        <charset val="204"/>
        <scheme val="minor"/>
      </rPr>
      <t>Taxes included:
At the expense of employer:</t>
    </r>
    <r>
      <rPr>
        <sz val="16"/>
        <color rgb="FFFF0000"/>
        <rFont val="Calibri"/>
        <family val="2"/>
        <scheme val="minor"/>
      </rPr>
      <t xml:space="preserve">
Social security - 2.7%
Liabilty Medical Insurance -2%
Social tax - 6%
</t>
    </r>
    <r>
      <rPr>
        <b/>
        <sz val="18"/>
        <color rgb="FFFF0000"/>
        <rFont val="Calibri"/>
        <family val="2"/>
        <charset val="204"/>
        <scheme val="minor"/>
      </rPr>
      <t>At the expense of employee:</t>
    </r>
    <r>
      <rPr>
        <b/>
        <sz val="16"/>
        <color rgb="FFFF0000"/>
        <rFont val="Calibri"/>
        <family val="2"/>
        <charset val="204"/>
        <scheme val="minor"/>
      </rPr>
      <t xml:space="preserve">
</t>
    </r>
    <r>
      <rPr>
        <sz val="16"/>
        <color rgb="FFFF0000"/>
        <rFont val="Calibri"/>
        <family val="2"/>
        <charset val="204"/>
        <scheme val="minor"/>
      </rPr>
      <t>Individual Income Tax - 9%
Liability Pension - 10%
Medical insurance - 2%</t>
    </r>
  </si>
  <si>
    <t>USL Project Income</t>
  </si>
  <si>
    <t>Staff salary - Izteleova Maral (Based on KPI for forming student groups)</t>
  </si>
  <si>
    <t>Almaty office rent - under project cost to Sept 2021</t>
  </si>
  <si>
    <t>Astana office rent - under project cost to Sept 2021</t>
  </si>
  <si>
    <t xml:space="preserve">NOTE CTJ PROJECT INCOME ENDS FROM DAI (USAID) </t>
  </si>
  <si>
    <t xml:space="preserve">Project (USAID)  account (with online delivery) </t>
  </si>
  <si>
    <t>Corporate Membership and BSP Revenue</t>
  </si>
  <si>
    <t>5 Corporate members</t>
  </si>
  <si>
    <t>Expenses</t>
  </si>
  <si>
    <t>Revenue</t>
  </si>
  <si>
    <t>Corporate Membership and BSP Expenses</t>
  </si>
  <si>
    <t>Minimun of 25 Corporate members under CTJ Project</t>
  </si>
  <si>
    <t>$1 = 450 kzt - February - May
$1 = 415 kzt - June - July
$1 = 420 kzt - August 
$1 = 430 kzt - Sept - Dec
$1 = 420 kzt Jan-Dec 2021</t>
  </si>
  <si>
    <t xml:space="preserve">Project account (with online delivery) </t>
  </si>
  <si>
    <t xml:space="preserve">Jan-Feb costs prior to project starting </t>
  </si>
  <si>
    <t xml:space="preserve">August </t>
  </si>
  <si>
    <t>$</t>
  </si>
  <si>
    <t>DAI Payments - (Original Phase 2 funds are in Yellow)</t>
  </si>
  <si>
    <t xml:space="preserve">Money taken from second account- donated not loan </t>
  </si>
  <si>
    <t xml:space="preserve">Leftover from Phase 1 after paying off to CILT Int In Dec 2019 - stays in this account </t>
  </si>
  <si>
    <t>Revenue from Phase 2 activities</t>
  </si>
  <si>
    <t>WiLAT activities</t>
  </si>
  <si>
    <t>Next Generation</t>
  </si>
  <si>
    <t>Financial support for organisations - Payment to advisors</t>
  </si>
  <si>
    <t>Removed cost of CILT INT January visit - Only CILT Kaz travel expenses</t>
  </si>
  <si>
    <t>Including Oct-Feb events</t>
  </si>
  <si>
    <t>Subscriptions - (Zoom, website hosting, Cloud, YouTube marketing,  Vkontakte)</t>
  </si>
  <si>
    <t xml:space="preserve">CILT Kazakhstan Project Management, tax included  - Total * </t>
  </si>
  <si>
    <t xml:space="preserve">This should cover Erbol, Aray, Aibek etc + the govt taxes/insurance etc  Is this all staff expenses for the Kaz team </t>
  </si>
  <si>
    <t xml:space="preserve">£1500 - June/Aug/Dec </t>
  </si>
  <si>
    <t xml:space="preserve">Confirmed students on Diploma programme - Actual Student Account  plus Actuals for Membership </t>
  </si>
  <si>
    <t>$1 = 375 kzt - Oct-Jan
$1 = 450 kzt - February - May
$1 = 415 kzt - June - July
$1 = 420 kzt - August 
$1 = 430 kzt - Sept-Oct</t>
  </si>
  <si>
    <t>13</t>
  </si>
  <si>
    <t>14</t>
  </si>
  <si>
    <t>15</t>
  </si>
  <si>
    <t>Phase I income</t>
  </si>
  <si>
    <t>Staff salary</t>
  </si>
  <si>
    <t>Financial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</si>
</sst>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_-[$$-409]* #,##0_ ;_-[$$-409]* \-#,##0\ ;_-[$$-409]* &quot;-&quot;??_ ;_-@_ "/>
    <numFmt numFmtId="165" formatCode="_-[$$-409]* #,##0.00_ ;_-[$$-409]* \-#,##0.00\ ;_-[$$-409]* &quot;-&quot;??_ ;_-@_ "/>
    <numFmt numFmtId="166" formatCode="[$$-409]#,##0"/>
    <numFmt numFmtId="167" formatCode="[$$-409]#,##0.00"/>
    <numFmt numFmtId="168" formatCode="_([$$-409]* #,##0.00_);_([$$-409]* \(#,##0.00\);_([$$-409]* &quot;-&quot;??_);_(@_)"/>
    <numFmt numFmtId="169" formatCode="&quot;$&quot;#,##0.00"/>
  </numFmts>
  <fonts count="5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0" tint="-0.34998626667073579"/>
      <name val="Calibri Light"/>
      <family val="2"/>
      <scheme val="major"/>
    </font>
    <font>
      <b/>
      <sz val="16"/>
      <color theme="0" tint="-0.34998626667073579"/>
      <name val="Calibri Light"/>
      <family val="1"/>
      <scheme val="major"/>
    </font>
    <font>
      <sz val="16"/>
      <color rgb="FFFF0000"/>
      <name val="Calibri"/>
      <family val="2"/>
      <scheme val="minor"/>
    </font>
    <font>
      <b/>
      <sz val="16"/>
      <color theme="0" tint="-0.34998626667073579"/>
      <name val="Bookman Old Style"/>
      <family val="1"/>
      <charset val="204"/>
    </font>
    <font>
      <b/>
      <sz val="16"/>
      <color rgb="FFFF0000"/>
      <name val="Calibri Light"/>
      <family val="1"/>
      <scheme val="major"/>
    </font>
    <font>
      <sz val="16"/>
      <color theme="0" tint="-0.34998626667073579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 Light"/>
      <family val="2"/>
      <charset val="204"/>
      <scheme val="major"/>
    </font>
    <font>
      <b/>
      <sz val="16"/>
      <color rgb="FFFF0000"/>
      <name val="Calibri Light"/>
      <family val="2"/>
      <charset val="204"/>
      <scheme val="major"/>
    </font>
    <font>
      <b/>
      <sz val="18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6"/>
      <name val="Calibri Light"/>
      <family val="2"/>
      <scheme val="major"/>
    </font>
    <font>
      <b/>
      <sz val="18"/>
      <color theme="4"/>
      <name val="Calibri"/>
      <family val="2"/>
      <charset val="204"/>
      <scheme val="minor"/>
    </font>
    <font>
      <sz val="16"/>
      <color rgb="FFFF0000"/>
      <name val="Calibri Light"/>
      <family val="2"/>
      <scheme val="major"/>
    </font>
    <font>
      <sz val="16"/>
      <name val="Calibri"/>
      <family val="2"/>
      <charset val="204"/>
      <scheme val="minor"/>
    </font>
    <font>
      <b/>
      <sz val="14"/>
      <color rgb="FF7030A0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b/>
      <sz val="16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i/>
      <sz val="16"/>
      <name val="Calibri"/>
      <family val="2"/>
      <scheme val="minor"/>
    </font>
    <font>
      <b/>
      <sz val="20"/>
      <color rgb="FFFF0000"/>
      <name val="Calibri"/>
      <family val="2"/>
      <charset val="204"/>
      <scheme val="minor"/>
    </font>
    <font>
      <b/>
      <outline/>
      <shadow/>
      <sz val="16"/>
      <color rgb="FFFF0000"/>
      <name val="Calibri"/>
      <family val="2"/>
      <scheme val="minor"/>
    </font>
    <font>
      <b/>
      <outline/>
      <shadow/>
      <sz val="18"/>
      <color theme="1"/>
      <name val="Calibri"/>
      <family val="2"/>
      <charset val="204"/>
      <scheme val="minor"/>
    </font>
    <font>
      <b/>
      <outline/>
      <shadow/>
      <sz val="18"/>
      <color rgb="FFFF0000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6"/>
      <name val="Calibri"/>
      <scheme val="minor"/>
    </font>
    <font>
      <b/>
      <sz val="16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 Light"/>
      <family val="1"/>
      <scheme val="major"/>
    </font>
    <font>
      <b/>
      <sz val="16"/>
      <color theme="4"/>
      <name val="Calibri Light"/>
      <family val="2"/>
      <charset val="204"/>
      <scheme val="maj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outline/>
      <shadow/>
      <sz val="18"/>
      <color theme="1"/>
      <name val="Calibri"/>
      <scheme val="minor"/>
    </font>
    <font>
      <b/>
      <outline/>
      <shadow/>
      <sz val="18"/>
      <name val="Calibri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rgb="FF7030A0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C2C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1" applyFont="1" applyFill="1" applyBorder="1" applyAlignment="1">
      <alignment horizontal="left" wrapText="1"/>
    </xf>
    <xf numFmtId="0" fontId="8" fillId="0" borderId="0" xfId="0" applyFont="1" applyFill="1" applyAlignment="1"/>
    <xf numFmtId="0" fontId="9" fillId="0" borderId="0" xfId="4" applyFont="1" applyFill="1"/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0" borderId="0" xfId="0" applyFont="1" applyFill="1" applyAlignment="1">
      <alignment vertical="center" wrapText="1"/>
    </xf>
    <xf numFmtId="0" fontId="12" fillId="0" borderId="0" xfId="0" applyFont="1" applyAlignment="1"/>
    <xf numFmtId="0" fontId="14" fillId="3" borderId="2" xfId="2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4" fillId="3" borderId="2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left" vertical="center" wrapText="1"/>
    </xf>
    <xf numFmtId="0" fontId="17" fillId="4" borderId="0" xfId="2" applyFont="1" applyFill="1" applyBorder="1" applyAlignment="1">
      <alignment horizontal="left" vertical="center" wrapText="1"/>
    </xf>
    <xf numFmtId="164" fontId="18" fillId="0" borderId="0" xfId="2" applyNumberFormat="1" applyFont="1" applyFill="1" applyBorder="1" applyAlignment="1">
      <alignment horizontal="right" vertical="center"/>
    </xf>
    <xf numFmtId="164" fontId="14" fillId="0" borderId="0" xfId="2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vertical="center" wrapText="1"/>
    </xf>
    <xf numFmtId="0" fontId="16" fillId="4" borderId="0" xfId="2" applyFont="1" applyFill="1" applyBorder="1" applyAlignment="1">
      <alignment horizontal="left" vertical="center" wrapText="1"/>
    </xf>
    <xf numFmtId="164" fontId="20" fillId="0" borderId="0" xfId="2" applyNumberFormat="1" applyFont="1" applyFill="1" applyBorder="1" applyAlignment="1">
      <alignment horizontal="right" vertical="center"/>
    </xf>
    <xf numFmtId="0" fontId="17" fillId="4" borderId="2" xfId="2" applyFont="1" applyFill="1" applyBorder="1" applyAlignment="1">
      <alignment horizontal="left" vertical="center" wrapText="1"/>
    </xf>
    <xf numFmtId="0" fontId="17" fillId="4" borderId="3" xfId="2" applyFont="1" applyFill="1" applyBorder="1" applyAlignment="1">
      <alignment horizontal="left" vertical="center" wrapText="1"/>
    </xf>
    <xf numFmtId="0" fontId="13" fillId="4" borderId="0" xfId="2" applyFont="1" applyFill="1" applyBorder="1" applyAlignment="1">
      <alignment horizontal="left" vertical="center" wrapText="1"/>
    </xf>
    <xf numFmtId="0" fontId="21" fillId="4" borderId="0" xfId="2" applyFont="1" applyFill="1" applyBorder="1" applyAlignment="1">
      <alignment horizontal="left" vertical="center" wrapText="1"/>
    </xf>
    <xf numFmtId="0" fontId="17" fillId="3" borderId="2" xfId="2" applyFont="1" applyFill="1" applyBorder="1" applyAlignment="1">
      <alignment horizontal="left" vertical="center" wrapText="1"/>
    </xf>
    <xf numFmtId="164" fontId="14" fillId="3" borderId="2" xfId="2" applyNumberFormat="1" applyFont="1" applyFill="1" applyBorder="1" applyAlignment="1">
      <alignment vertical="center"/>
    </xf>
    <xf numFmtId="164" fontId="15" fillId="3" borderId="2" xfId="2" applyNumberFormat="1" applyFont="1" applyFill="1" applyBorder="1" applyAlignment="1">
      <alignment vertical="center"/>
    </xf>
    <xf numFmtId="2" fontId="13" fillId="3" borderId="2" xfId="0" applyNumberFormat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3" fillId="4" borderId="0" xfId="2" applyFont="1" applyFill="1" applyBorder="1" applyAlignment="1">
      <alignment horizontal="left" vertical="center" wrapText="1"/>
    </xf>
    <xf numFmtId="0" fontId="18" fillId="0" borderId="0" xfId="2" applyFont="1" applyFill="1" applyBorder="1" applyAlignment="1">
      <alignment horizontal="right" vertical="center"/>
    </xf>
    <xf numFmtId="2" fontId="23" fillId="0" borderId="0" xfId="2" applyNumberFormat="1" applyFont="1" applyFill="1" applyBorder="1" applyAlignment="1">
      <alignment horizontal="right" vertical="center"/>
    </xf>
    <xf numFmtId="165" fontId="0" fillId="0" borderId="0" xfId="0" applyNumberFormat="1"/>
    <xf numFmtId="165" fontId="14" fillId="0" borderId="0" xfId="2" applyNumberFormat="1" applyFont="1" applyFill="1" applyBorder="1" applyAlignment="1">
      <alignment horizontal="right" vertical="center"/>
    </xf>
    <xf numFmtId="165" fontId="21" fillId="0" borderId="0" xfId="0" applyNumberFormat="1" applyFont="1" applyFill="1" applyAlignment="1">
      <alignment vertical="center"/>
    </xf>
    <xf numFmtId="165" fontId="15" fillId="0" borderId="0" xfId="2" applyNumberFormat="1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left" vertical="center" wrapText="1"/>
    </xf>
    <xf numFmtId="165" fontId="21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5" fontId="24" fillId="0" borderId="0" xfId="0" applyNumberFormat="1" applyFont="1" applyFill="1" applyAlignment="1">
      <alignment vertical="center"/>
    </xf>
    <xf numFmtId="0" fontId="18" fillId="3" borderId="2" xfId="2" applyFont="1" applyFill="1" applyBorder="1" applyAlignment="1">
      <alignment horizontal="right" vertical="center"/>
    </xf>
    <xf numFmtId="2" fontId="23" fillId="3" borderId="2" xfId="2" applyNumberFormat="1" applyFont="1" applyFill="1" applyBorder="1" applyAlignment="1">
      <alignment vertical="center"/>
    </xf>
    <xf numFmtId="0" fontId="25" fillId="5" borderId="0" xfId="2" applyFont="1" applyFill="1" applyBorder="1" applyAlignment="1">
      <alignment horizontal="center" vertical="center" wrapText="1"/>
    </xf>
    <xf numFmtId="166" fontId="23" fillId="0" borderId="0" xfId="2" applyNumberFormat="1" applyFont="1" applyFill="1" applyBorder="1" applyAlignment="1">
      <alignment horizontal="right" vertical="center"/>
    </xf>
    <xf numFmtId="167" fontId="23" fillId="0" borderId="0" xfId="2" applyNumberFormat="1" applyFont="1" applyFill="1" applyBorder="1" applyAlignment="1">
      <alignment horizontal="right" vertical="center"/>
    </xf>
    <xf numFmtId="0" fontId="26" fillId="4" borderId="0" xfId="2" applyFont="1" applyFill="1" applyBorder="1" applyAlignment="1">
      <alignment horizontal="left" vertical="center" wrapText="1"/>
    </xf>
    <xf numFmtId="165" fontId="23" fillId="0" borderId="0" xfId="2" applyNumberFormat="1" applyFont="1" applyFill="1" applyBorder="1" applyAlignment="1">
      <alignment horizontal="right" vertical="center"/>
    </xf>
    <xf numFmtId="2" fontId="21" fillId="0" borderId="0" xfId="3" applyNumberFormat="1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left" vertical="center" wrapText="1"/>
    </xf>
    <xf numFmtId="165" fontId="21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2" fontId="28" fillId="0" borderId="0" xfId="0" applyNumberFormat="1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left" vertical="center" wrapText="1"/>
    </xf>
    <xf numFmtId="165" fontId="21" fillId="3" borderId="0" xfId="0" applyNumberFormat="1" applyFont="1" applyFill="1" applyBorder="1" applyAlignment="1">
      <alignment vertical="center"/>
    </xf>
    <xf numFmtId="165" fontId="13" fillId="3" borderId="0" xfId="0" applyNumberFormat="1" applyFont="1" applyFill="1" applyBorder="1" applyAlignment="1">
      <alignment vertical="center"/>
    </xf>
    <xf numFmtId="2" fontId="21" fillId="3" borderId="0" xfId="0" applyNumberFormat="1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0" fontId="30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vertical="center"/>
    </xf>
    <xf numFmtId="0" fontId="30" fillId="4" borderId="0" xfId="0" applyFont="1" applyFill="1" applyBorder="1" applyAlignment="1">
      <alignment horizontal="right" vertical="center" wrapText="1"/>
    </xf>
    <xf numFmtId="0" fontId="23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vertical="center"/>
    </xf>
    <xf numFmtId="165" fontId="31" fillId="0" borderId="4" xfId="0" applyNumberFormat="1" applyFont="1" applyFill="1" applyBorder="1" applyAlignment="1">
      <alignment vertical="center"/>
    </xf>
    <xf numFmtId="0" fontId="23" fillId="4" borderId="0" xfId="0" applyFont="1" applyFill="1" applyBorder="1" applyAlignment="1">
      <alignment horizontal="left" vertical="center" wrapText="1"/>
    </xf>
    <xf numFmtId="165" fontId="9" fillId="0" borderId="5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3" fillId="4" borderId="6" xfId="0" applyFont="1" applyFill="1" applyBorder="1" applyAlignment="1">
      <alignment horizontal="left" vertical="center" wrapText="1"/>
    </xf>
    <xf numFmtId="165" fontId="33" fillId="4" borderId="6" xfId="0" applyNumberFormat="1" applyFont="1" applyFill="1" applyBorder="1" applyAlignment="1">
      <alignment vertical="center"/>
    </xf>
    <xf numFmtId="165" fontId="34" fillId="4" borderId="6" xfId="0" applyNumberFormat="1" applyFont="1" applyFill="1" applyBorder="1" applyAlignment="1">
      <alignment vertical="center"/>
    </xf>
    <xf numFmtId="2" fontId="33" fillId="4" borderId="0" xfId="0" applyNumberFormat="1" applyFont="1" applyFill="1" applyBorder="1" applyAlignment="1">
      <alignment vertical="center"/>
    </xf>
    <xf numFmtId="165" fontId="35" fillId="0" borderId="0" xfId="0" applyNumberFormat="1" applyFont="1"/>
    <xf numFmtId="0" fontId="0" fillId="6" borderId="0" xfId="0" applyFill="1"/>
    <xf numFmtId="0" fontId="36" fillId="0" borderId="0" xfId="0" applyFont="1" applyAlignment="1">
      <alignment horizontal="right"/>
    </xf>
    <xf numFmtId="0" fontId="28" fillId="0" borderId="0" xfId="0" applyFont="1"/>
    <xf numFmtId="168" fontId="37" fillId="0" borderId="0" xfId="0" applyNumberFormat="1" applyFont="1"/>
    <xf numFmtId="168" fontId="28" fillId="0" borderId="0" xfId="0" applyNumberFormat="1" applyFont="1" applyAlignment="1">
      <alignment horizontal="left"/>
    </xf>
    <xf numFmtId="0" fontId="38" fillId="0" borderId="0" xfId="0" applyFont="1" applyAlignment="1">
      <alignment wrapText="1"/>
    </xf>
    <xf numFmtId="16" fontId="28" fillId="0" borderId="0" xfId="0" quotePrefix="1" applyNumberFormat="1" applyFont="1" applyAlignment="1">
      <alignment horizontal="right" vertical="center"/>
    </xf>
    <xf numFmtId="0" fontId="28" fillId="0" borderId="0" xfId="0" quotePrefix="1" applyFont="1" applyAlignment="1">
      <alignment horizontal="right"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41" fillId="4" borderId="0" xfId="0" applyFont="1" applyFill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 wrapText="1"/>
    </xf>
    <xf numFmtId="0" fontId="14" fillId="7" borderId="2" xfId="2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165" fontId="42" fillId="0" borderId="0" xfId="2" applyNumberFormat="1" applyFont="1" applyFill="1" applyBorder="1" applyAlignment="1">
      <alignment vertical="center"/>
    </xf>
    <xf numFmtId="0" fontId="43" fillId="0" borderId="0" xfId="0" applyFont="1" applyAlignment="1">
      <alignment wrapText="1"/>
    </xf>
    <xf numFmtId="165" fontId="44" fillId="6" borderId="0" xfId="0" applyNumberFormat="1" applyFont="1" applyFill="1"/>
    <xf numFmtId="165" fontId="44" fillId="0" borderId="0" xfId="0" applyNumberFormat="1" applyFont="1"/>
    <xf numFmtId="0" fontId="45" fillId="0" borderId="0" xfId="0" applyFont="1" applyAlignment="1">
      <alignment horizontal="center" vertical="center" wrapText="1"/>
    </xf>
    <xf numFmtId="165" fontId="31" fillId="8" borderId="4" xfId="0" applyNumberFormat="1" applyFont="1" applyFill="1" applyBorder="1" applyAlignment="1">
      <alignment vertical="center"/>
    </xf>
    <xf numFmtId="164" fontId="15" fillId="8" borderId="0" xfId="2" applyNumberFormat="1" applyFont="1" applyFill="1" applyBorder="1" applyAlignment="1">
      <alignment horizontal="right" vertical="center"/>
    </xf>
    <xf numFmtId="164" fontId="20" fillId="8" borderId="0" xfId="2" applyNumberFormat="1" applyFont="1" applyFill="1" applyBorder="1" applyAlignment="1">
      <alignment horizontal="right" vertical="center"/>
    </xf>
    <xf numFmtId="0" fontId="17" fillId="9" borderId="0" xfId="2" applyFont="1" applyFill="1" applyBorder="1" applyAlignment="1">
      <alignment horizontal="left" vertical="center" wrapText="1"/>
    </xf>
    <xf numFmtId="164" fontId="16" fillId="9" borderId="2" xfId="2" applyNumberFormat="1" applyFont="1" applyFill="1" applyBorder="1" applyAlignment="1">
      <alignment horizontal="left" vertical="center" wrapText="1"/>
    </xf>
    <xf numFmtId="164" fontId="16" fillId="9" borderId="0" xfId="2" applyNumberFormat="1" applyFont="1" applyFill="1" applyBorder="1" applyAlignment="1">
      <alignment horizontal="left" vertical="center" wrapText="1"/>
    </xf>
    <xf numFmtId="165" fontId="14" fillId="8" borderId="0" xfId="2" applyNumberFormat="1" applyFont="1" applyFill="1" applyBorder="1" applyAlignment="1">
      <alignment horizontal="right" vertical="center"/>
    </xf>
    <xf numFmtId="165" fontId="9" fillId="8" borderId="0" xfId="0" applyNumberFormat="1" applyFont="1" applyFill="1" applyBorder="1" applyAlignment="1">
      <alignment vertical="center"/>
    </xf>
    <xf numFmtId="165" fontId="24" fillId="8" borderId="0" xfId="0" applyNumberFormat="1" applyFont="1" applyFill="1" applyBorder="1" applyAlignment="1">
      <alignment vertical="center"/>
    </xf>
    <xf numFmtId="0" fontId="46" fillId="0" borderId="0" xfId="4" applyFont="1" applyFill="1"/>
    <xf numFmtId="169" fontId="8" fillId="0" borderId="0" xfId="0" applyNumberFormat="1" applyFont="1" applyFill="1" applyAlignment="1">
      <alignment horizontal="center" vertical="top" wrapText="1"/>
    </xf>
    <xf numFmtId="0" fontId="4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3" fillId="0" borderId="0" xfId="0" applyFont="1" applyAlignment="1"/>
    <xf numFmtId="44" fontId="18" fillId="0" borderId="0" xfId="2" applyNumberFormat="1" applyFont="1" applyFill="1" applyBorder="1" applyAlignment="1">
      <alignment horizontal="right" vertical="center"/>
    </xf>
    <xf numFmtId="165" fontId="20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horizontal="center" vertical="center" wrapText="1"/>
    </xf>
    <xf numFmtId="165" fontId="48" fillId="0" borderId="0" xfId="0" applyNumberFormat="1" applyFont="1"/>
    <xf numFmtId="165" fontId="14" fillId="10" borderId="0" xfId="2" applyNumberFormat="1" applyFont="1" applyFill="1" applyBorder="1" applyAlignment="1">
      <alignment horizontal="right" vertical="center"/>
    </xf>
    <xf numFmtId="165" fontId="18" fillId="0" borderId="0" xfId="2" applyNumberFormat="1" applyFont="1" applyFill="1" applyBorder="1" applyAlignment="1">
      <alignment horizontal="right" vertical="center"/>
    </xf>
    <xf numFmtId="165" fontId="18" fillId="3" borderId="2" xfId="2" applyNumberFormat="1" applyFont="1" applyFill="1" applyBorder="1" applyAlignment="1">
      <alignment horizontal="right" vertical="center"/>
    </xf>
    <xf numFmtId="166" fontId="23" fillId="0" borderId="7" xfId="2" applyNumberFormat="1" applyFont="1" applyFill="1" applyBorder="1" applyAlignment="1">
      <alignment horizontal="right" vertical="center"/>
    </xf>
    <xf numFmtId="166" fontId="23" fillId="0" borderId="8" xfId="2" applyNumberFormat="1" applyFont="1" applyFill="1" applyBorder="1" applyAlignment="1">
      <alignment horizontal="right" vertical="center"/>
    </xf>
    <xf numFmtId="166" fontId="23" fillId="0" borderId="9" xfId="2" applyNumberFormat="1" applyFont="1" applyFill="1" applyBorder="1" applyAlignment="1">
      <alignment horizontal="right" vertical="center"/>
    </xf>
    <xf numFmtId="165" fontId="23" fillId="0" borderId="7" xfId="2" applyNumberFormat="1" applyFont="1" applyFill="1" applyBorder="1" applyAlignment="1">
      <alignment horizontal="right" vertical="center"/>
    </xf>
    <xf numFmtId="165" fontId="23" fillId="0" borderId="8" xfId="2" applyNumberFormat="1" applyFont="1" applyFill="1" applyBorder="1" applyAlignment="1">
      <alignment horizontal="right" vertical="center"/>
    </xf>
    <xf numFmtId="165" fontId="23" fillId="0" borderId="9" xfId="2" applyNumberFormat="1" applyFont="1" applyFill="1" applyBorder="1" applyAlignment="1">
      <alignment horizontal="right" vertical="center"/>
    </xf>
    <xf numFmtId="165" fontId="13" fillId="0" borderId="8" xfId="0" applyNumberFormat="1" applyFont="1" applyFill="1" applyBorder="1" applyAlignment="1">
      <alignment vertical="center"/>
    </xf>
    <xf numFmtId="165" fontId="13" fillId="0" borderId="9" xfId="0" applyNumberFormat="1" applyFont="1" applyFill="1" applyBorder="1" applyAlignment="1">
      <alignment vertical="center"/>
    </xf>
    <xf numFmtId="165" fontId="13" fillId="0" borderId="10" xfId="0" applyNumberFormat="1" applyFont="1" applyFill="1" applyBorder="1" applyAlignment="1">
      <alignment vertical="center"/>
    </xf>
    <xf numFmtId="165" fontId="13" fillId="0" borderId="4" xfId="0" applyNumberFormat="1" applyFont="1" applyFill="1" applyBorder="1" applyAlignment="1">
      <alignment vertical="center"/>
    </xf>
    <xf numFmtId="0" fontId="49" fillId="0" borderId="0" xfId="0" applyFont="1" applyFill="1"/>
    <xf numFmtId="165" fontId="21" fillId="0" borderId="4" xfId="0" applyNumberFormat="1" applyFont="1" applyFill="1" applyBorder="1" applyAlignment="1">
      <alignment vertical="center"/>
    </xf>
    <xf numFmtId="165" fontId="13" fillId="0" borderId="11" xfId="0" applyNumberFormat="1" applyFont="1" applyFill="1" applyBorder="1" applyAlignment="1">
      <alignment vertical="center"/>
    </xf>
    <xf numFmtId="165" fontId="21" fillId="3" borderId="11" xfId="0" applyNumberFormat="1" applyFont="1" applyFill="1" applyBorder="1" applyAlignment="1">
      <alignment vertical="center"/>
    </xf>
    <xf numFmtId="165" fontId="21" fillId="3" borderId="10" xfId="0" applyNumberFormat="1" applyFont="1" applyFill="1" applyBorder="1" applyAlignment="1">
      <alignment vertical="center"/>
    </xf>
    <xf numFmtId="165" fontId="21" fillId="3" borderId="4" xfId="0" applyNumberFormat="1" applyFont="1" applyFill="1" applyBorder="1" applyAlignment="1">
      <alignment vertical="center"/>
    </xf>
    <xf numFmtId="165" fontId="21" fillId="0" borderId="11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>
      <alignment vertical="center"/>
    </xf>
    <xf numFmtId="165" fontId="41" fillId="0" borderId="0" xfId="0" applyNumberFormat="1" applyFont="1" applyFill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vertical="center"/>
    </xf>
    <xf numFmtId="165" fontId="50" fillId="0" borderId="0" xfId="0" applyNumberFormat="1" applyFont="1"/>
    <xf numFmtId="165" fontId="49" fillId="0" borderId="0" xfId="0" applyNumberFormat="1" applyFont="1"/>
    <xf numFmtId="0" fontId="51" fillId="4" borderId="6" xfId="0" applyFont="1" applyFill="1" applyBorder="1" applyAlignment="1">
      <alignment horizontal="left" vertical="center" wrapText="1"/>
    </xf>
    <xf numFmtId="165" fontId="51" fillId="4" borderId="6" xfId="0" applyNumberFormat="1" applyFont="1" applyFill="1" applyBorder="1" applyAlignment="1">
      <alignment vertical="center"/>
    </xf>
    <xf numFmtId="165" fontId="52" fillId="4" borderId="6" xfId="0" applyNumberFormat="1" applyFont="1" applyFill="1" applyBorder="1" applyAlignment="1">
      <alignment vertical="center"/>
    </xf>
    <xf numFmtId="2" fontId="51" fillId="4" borderId="0" xfId="0" applyNumberFormat="1" applyFont="1" applyFill="1" applyBorder="1" applyAlignment="1">
      <alignment vertical="center"/>
    </xf>
    <xf numFmtId="0" fontId="49" fillId="0" borderId="0" xfId="0" applyFont="1"/>
    <xf numFmtId="0" fontId="53" fillId="0" borderId="0" xfId="0" applyFont="1" applyAlignment="1">
      <alignment wrapText="1"/>
    </xf>
    <xf numFmtId="165" fontId="54" fillId="0" borderId="0" xfId="0" applyNumberFormat="1" applyFont="1"/>
    <xf numFmtId="165" fontId="55" fillId="0" borderId="0" xfId="0" applyNumberFormat="1" applyFont="1"/>
    <xf numFmtId="0" fontId="28" fillId="0" borderId="0" xfId="0" applyFont="1" applyAlignment="1">
      <alignment wrapText="1"/>
    </xf>
    <xf numFmtId="0" fontId="0" fillId="0" borderId="0" xfId="0" applyFill="1"/>
    <xf numFmtId="0" fontId="56" fillId="0" borderId="0" xfId="0" applyFont="1" applyFill="1"/>
    <xf numFmtId="0" fontId="56" fillId="0" borderId="0" xfId="0" applyFont="1"/>
    <xf numFmtId="0" fontId="57" fillId="0" borderId="0" xfId="0" applyFont="1" applyAlignment="1">
      <alignment wrapText="1"/>
    </xf>
    <xf numFmtId="0" fontId="37" fillId="0" borderId="0" xfId="0" applyFont="1"/>
    <xf numFmtId="12" fontId="8" fillId="0" borderId="0" xfId="0" applyNumberFormat="1" applyFont="1" applyFill="1" applyAlignment="1">
      <alignment horizontal="center" vertical="top" wrapText="1"/>
    </xf>
    <xf numFmtId="0" fontId="19" fillId="4" borderId="2" xfId="2" applyFont="1" applyFill="1" applyBorder="1" applyAlignment="1">
      <alignment horizontal="left" vertical="center" wrapText="1"/>
    </xf>
    <xf numFmtId="164" fontId="18" fillId="6" borderId="0" xfId="2" applyNumberFormat="1" applyFont="1" applyFill="1" applyBorder="1" applyAlignment="1">
      <alignment horizontal="right" vertical="center"/>
    </xf>
    <xf numFmtId="164" fontId="20" fillId="6" borderId="0" xfId="2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0" fontId="58" fillId="0" borderId="0" xfId="0" applyFont="1" applyAlignment="1">
      <alignment horizontal="right" wrapText="1"/>
    </xf>
    <xf numFmtId="16" fontId="0" fillId="0" borderId="0" xfId="0" applyNumberFormat="1" applyAlignment="1">
      <alignment wrapText="1"/>
    </xf>
  </cellXfs>
  <cellStyles count="5">
    <cellStyle name="20% — акцент1" xfId="4" builtinId="30"/>
    <cellStyle name="Заголовок 1" xfId="2" builtinId="16"/>
    <cellStyle name="Название" xfId="1" builtinId="15"/>
    <cellStyle name="Обычный" xfId="0" builtinId="0"/>
    <cellStyle name="Текст предупреждения" xfId="3" builtinId="11"/>
  </cellStyles>
  <dxfs count="63"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2" formatCode="0.00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auto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auto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auto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auto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z val="16"/>
        <color auto="1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u val="none"/>
        <vertAlign val="baseline"/>
        <color auto="1"/>
      </font>
    </dxf>
    <dxf>
      <numFmt numFmtId="165" formatCode="_-[$$-409]* #,##0.00_ ;_-[$$-409]* \-#,##0.00\ ;_-[$$-409]* &quot;-&quot;??_ ;_-@_ "/>
    </dxf>
    <dxf>
      <numFmt numFmtId="165" formatCode="_-[$$-409]* #,##0.00_ ;_-[$$-409]* \-#,##0.00\ ;_-[$$-409]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</dxf>
    <dxf>
      <alignment textRotation="0" wrapText="1" indent="0" justifyLastLine="0" shrinkToFit="0" readingOrder="0"/>
    </dxf>
    <dxf>
      <border>
        <top style="thin">
          <color rgb="FF808080"/>
        </top>
      </border>
    </dxf>
    <dxf>
      <border>
        <bottom style="thin">
          <color rgb="FF000000"/>
        </bottom>
      </border>
    </dxf>
    <dxf>
      <font>
        <b/>
        <strike val="0"/>
        <outline/>
        <shadow/>
        <u val="none"/>
        <vertAlign val="baseline"/>
        <sz val="18"/>
        <color rgb="FF000000"/>
        <name val="Calibri"/>
        <scheme val="none"/>
      </font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font>
        <b/>
        <strike val="0"/>
        <outline val="0"/>
        <shadow val="0"/>
        <u val="none"/>
        <vertAlign val="baseline"/>
        <sz val="16"/>
        <color auto="1"/>
        <name val="Calibri Light"/>
        <scheme val="major"/>
      </font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2" formatCode="0.00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z val="16"/>
        <color auto="1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rgb="FFFF0000"/>
        <name val="Calibri"/>
        <scheme val="minor"/>
      </font>
      <numFmt numFmtId="165" formatCode="_-[$$-409]* #,##0.00_ ;_-[$$-409]* \-#,##0.00\ ;_-[$$-409]* &quot;-&quot;??_ ;_-@_ "/>
      <fill>
        <patternFill patternType="solid">
          <fgColor indexed="64"/>
          <bgColor theme="2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5" formatCode="_-[$$-409]* #,##0.00_ ;_-[$$-409]* \-#,##0.00\ ;_-[$$-409]* &quot;-&quot;??_ ;_-@_ 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2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textRotation="0" wrapText="1" indent="0" justifyLastLine="0" shrinkToFit="0" readingOrder="0"/>
    </dxf>
    <dxf>
      <border>
        <top style="thin">
          <color rgb="FF808080"/>
        </top>
      </border>
    </dxf>
    <dxf>
      <font>
        <b/>
        <strike val="0"/>
        <outline/>
        <shadow/>
        <u val="none"/>
        <vertAlign val="baseline"/>
        <sz val="18"/>
        <color rgb="FF000000"/>
        <name val="Calibri"/>
        <scheme val="none"/>
      </font>
      <border diagonalUp="0" diagonalDown="0" outline="0">
        <left style="thin">
          <color rgb="FF808080"/>
        </left>
        <right style="thin">
          <color rgb="FF808080"/>
        </right>
        <top/>
        <bottom/>
      </border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6"/>
        <color auto="1"/>
        <name val="Calibri Light"/>
        <scheme val="major"/>
      </font>
    </dxf>
  </dxfs>
  <tableStyles count="0" defaultTableStyle="TableStyleMedium2" defaultPivotStyle="PivotStyleLight16"/>
  <colors>
    <mruColors>
      <color rgb="FFC5C2C2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blРасходы52" displayName="tblРасходы52" ref="A7:P67" totalsRowCount="1" headerRowDxfId="62" totalsRowDxfId="60" headerRowBorderDxfId="61" totalsRowBorderDxfId="59">
  <tableColumns count="16">
    <tableColumn id="1" name="-" totalsRowLabel="Total" dataDxfId="58" totalsRowDxfId="57"/>
    <tableColumn id="4" name="Opening balance at with CILT Kaz at 1/9/20 " dataDxfId="56" totalsRowDxfId="55"/>
    <tableColumn id="16" name="1" totalsRowFunction="sum" dataDxfId="54" totalsRowDxfId="53"/>
    <tableColumn id="17" name="2" totalsRowFunction="sum" dataDxfId="52" totalsRowDxfId="51"/>
    <tableColumn id="18" name="3" totalsRowFunction="sum" dataDxfId="50" totalsRowDxfId="49"/>
    <tableColumn id="19" name="4" totalsRowFunction="sum" dataDxfId="48" totalsRowDxfId="47"/>
    <tableColumn id="20" name="5" totalsRowFunction="sum" dataDxfId="46" totalsRowDxfId="45"/>
    <tableColumn id="22" name="6" totalsRowFunction="sum" dataDxfId="44" totalsRowDxfId="43"/>
    <tableColumn id="23" name="7" totalsRowFunction="sum" dataDxfId="42" totalsRowDxfId="41"/>
    <tableColumn id="24" name="8" totalsRowFunction="sum" dataDxfId="40" totalsRowDxfId="39"/>
    <tableColumn id="25" name="9" totalsRowFunction="sum" dataDxfId="38" totalsRowDxfId="37"/>
    <tableColumn id="26" name="10" totalsRowFunction="sum" dataDxfId="36" totalsRowDxfId="35"/>
    <tableColumn id="27" name="11" totalsRowFunction="sum" dataDxfId="34" totalsRowDxfId="33"/>
    <tableColumn id="28" name="12" totalsRowFunction="sum" dataDxfId="32" totalsRowDxfId="31"/>
    <tableColumn id="14" name="TOTAL" totalsRowFunction="sum" dataDxfId="30" totalsRowDxfId="29"/>
    <tableColumn id="5" name="Notes" totalsRowDxfId="28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="Расходы за месяц" altTextSummary="Сводка расходов за каждый календарный месяц."/>
    </ext>
  </extLst>
</table>
</file>

<file path=xl/tables/table2.xml><?xml version="1.0" encoding="utf-8"?>
<table xmlns="http://schemas.openxmlformats.org/spreadsheetml/2006/main" id="1" name="tblРасходы522" displayName="tblРасходы522" ref="A7:O67" totalsRowCount="1" headerRowDxfId="27" totalsRowDxfId="26" headerRowBorderDxfId="25" totalsRowBorderDxfId="24">
  <tableColumns count="15">
    <tableColumn id="1" name="-" totalsRowLabel="Total" dataDxfId="23" totalsRowDxfId="14"/>
    <tableColumn id="4" name="Opening balance at with CILT Kaz at 1/9/20 " dataDxfId="22" totalsRowDxfId="13"/>
    <tableColumn id="2" name="1" totalsRowFunction="sum" dataDxfId="21" totalsRowDxfId="12"/>
    <tableColumn id="3" name="2" totalsRowFunction="sum" dataDxfId="20" totalsRowDxfId="11"/>
    <tableColumn id="6" name="3" totalsRowFunction="sum" totalsRowDxfId="10"/>
    <tableColumn id="7" name="4" totalsRowFunction="sum" totalsRowDxfId="9"/>
    <tableColumn id="9" name="5" totalsRowFunction="sum" totalsRowDxfId="8"/>
    <tableColumn id="10" name="6" totalsRowFunction="sum" totalsRowDxfId="7"/>
    <tableColumn id="11" name="7" totalsRowFunction="sum" totalsRowDxfId="6"/>
    <tableColumn id="8" name="8" totalsRowFunction="sum" dataDxfId="19" totalsRowDxfId="5"/>
    <tableColumn id="12" name="9" totalsRowFunction="sum" dataDxfId="18" totalsRowDxfId="4"/>
    <tableColumn id="13" name="10" totalsRowFunction="sum" dataDxfId="17" totalsRowDxfId="3"/>
    <tableColumn id="15" name="11" totalsRowFunction="sum" dataDxfId="16" totalsRowDxfId="2"/>
    <tableColumn id="14" name="TOTAL" totalsRowFunction="sum" dataDxfId="15" totalsRowDxfId="1"/>
    <tableColumn id="5" name="Notes" totalsRowDxfId="0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="Расходы за месяц" altTextSummary="Сводка расходов за каждый календарный месяц."/>
    </ext>
  </extLst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D79"/>
  <sheetViews>
    <sheetView topLeftCell="A50" zoomScale="40" zoomScaleNormal="40" workbookViewId="0">
      <selection activeCell="D5" sqref="D5"/>
    </sheetView>
  </sheetViews>
  <sheetFormatPr defaultRowHeight="15" x14ac:dyDescent="0.25"/>
  <cols>
    <col min="1" max="1" width="54.85546875" style="2" customWidth="1"/>
    <col min="2" max="2" width="47.7109375" style="2" customWidth="1"/>
    <col min="3" max="14" width="23.7109375" customWidth="1"/>
    <col min="15" max="15" width="40.42578125" customWidth="1"/>
    <col min="16" max="16" width="54.42578125" customWidth="1"/>
    <col min="17" max="28" width="27.85546875" customWidth="1"/>
    <col min="29" max="29" width="30.42578125" customWidth="1"/>
    <col min="30" max="30" width="95.7109375" style="2" customWidth="1"/>
  </cols>
  <sheetData>
    <row r="3" spans="1:30" ht="63" x14ac:dyDescent="0.25">
      <c r="B3" s="3" t="s">
        <v>95</v>
      </c>
    </row>
    <row r="4" spans="1:30" ht="21" x14ac:dyDescent="0.35">
      <c r="A4" s="4" t="s">
        <v>0</v>
      </c>
      <c r="B4" s="4"/>
      <c r="C4" s="5"/>
      <c r="D4" s="5"/>
      <c r="E4" s="5"/>
      <c r="F4" s="5">
        <v>2021</v>
      </c>
      <c r="G4" s="5"/>
      <c r="H4" s="5"/>
      <c r="I4" s="5"/>
      <c r="J4" s="5">
        <v>2021</v>
      </c>
      <c r="K4" s="5"/>
      <c r="L4" s="5"/>
      <c r="M4" s="5"/>
      <c r="N4" s="5">
        <v>2021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8">
        <v>2021</v>
      </c>
      <c r="AA4" s="6"/>
      <c r="AB4" s="6"/>
      <c r="AC4" s="34"/>
    </row>
    <row r="5" spans="1:30" ht="51.75" customHeight="1" x14ac:dyDescent="0.35">
      <c r="A5" s="7" t="s">
        <v>124</v>
      </c>
      <c r="B5" s="7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51</v>
      </c>
      <c r="K5" s="9" t="s">
        <v>52</v>
      </c>
      <c r="L5" s="9" t="s">
        <v>53</v>
      </c>
      <c r="M5" s="9" t="s">
        <v>54</v>
      </c>
      <c r="N5" s="9" t="s">
        <v>55</v>
      </c>
      <c r="O5" s="10" t="s">
        <v>12</v>
      </c>
      <c r="P5" s="5"/>
      <c r="Q5" s="5"/>
      <c r="R5" s="5"/>
      <c r="S5" s="5"/>
      <c r="T5" s="5"/>
      <c r="U5" s="5"/>
      <c r="V5" s="5"/>
      <c r="W5" s="5"/>
      <c r="X5" s="8" t="s">
        <v>56</v>
      </c>
      <c r="Y5" s="5"/>
      <c r="Z5" s="5"/>
      <c r="AA5" s="5"/>
      <c r="AB5" s="8" t="s">
        <v>57</v>
      </c>
      <c r="AC5" s="35"/>
    </row>
    <row r="6" spans="1:30" ht="9.75" customHeight="1" x14ac:dyDescent="0.35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30" ht="42" x14ac:dyDescent="0.25">
      <c r="A7" s="13" t="s">
        <v>58</v>
      </c>
      <c r="B7" s="14" t="s">
        <v>59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5" t="s">
        <v>25</v>
      </c>
      <c r="O7" s="16" t="s">
        <v>36</v>
      </c>
      <c r="P7" s="13" t="s">
        <v>37</v>
      </c>
      <c r="AD7"/>
    </row>
    <row r="8" spans="1:30" ht="21" x14ac:dyDescent="0.25">
      <c r="A8" s="36"/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21"/>
      <c r="AD8"/>
    </row>
    <row r="9" spans="1:30" ht="46.5" x14ac:dyDescent="0.25">
      <c r="A9" s="22" t="s">
        <v>99</v>
      </c>
      <c r="B9" s="22"/>
      <c r="C9" s="42">
        <v>17386.7</v>
      </c>
      <c r="D9" s="42">
        <v>17600</v>
      </c>
      <c r="E9" s="42">
        <v>11520.15</v>
      </c>
      <c r="F9" s="42">
        <v>20320</v>
      </c>
      <c r="G9" s="42"/>
      <c r="H9" s="42">
        <v>19800</v>
      </c>
      <c r="I9" s="42"/>
      <c r="J9" s="42"/>
      <c r="K9" s="42">
        <v>8800</v>
      </c>
      <c r="L9" s="42"/>
      <c r="M9" s="42"/>
      <c r="N9" s="42"/>
      <c r="O9" s="40">
        <f>SUM(tblРасходы52[[#This Row],[1]:[12]])</f>
        <v>95426.85</v>
      </c>
      <c r="P9" s="21"/>
      <c r="AD9"/>
    </row>
    <row r="10" spans="1:30" ht="23.25" x14ac:dyDescent="0.25">
      <c r="A10" s="43" t="s">
        <v>119</v>
      </c>
      <c r="B10" s="26"/>
      <c r="C10" s="45"/>
      <c r="D10" s="45"/>
      <c r="E10" s="42">
        <v>2000</v>
      </c>
      <c r="F10" s="45"/>
      <c r="G10" s="45"/>
      <c r="H10" s="45"/>
      <c r="I10" s="45"/>
      <c r="J10" s="45"/>
      <c r="K10" s="45"/>
      <c r="L10" s="45" t="s">
        <v>97</v>
      </c>
      <c r="M10" s="45"/>
      <c r="N10" s="45"/>
      <c r="O10" s="40">
        <f>SUM(tblРасходы52[[#This Row],[1]:[12]])</f>
        <v>2000</v>
      </c>
      <c r="P10" s="21"/>
      <c r="AD10"/>
    </row>
    <row r="11" spans="1:30" ht="23.25" x14ac:dyDescent="0.25">
      <c r="A11" s="22" t="s">
        <v>98</v>
      </c>
      <c r="B11" s="27"/>
      <c r="C11" s="104">
        <v>1523.1499999999996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0">
        <f>SUM(tblРасходы52[[#This Row],[1]:[12]])</f>
        <v>1523.1499999999996</v>
      </c>
      <c r="P11" s="21"/>
      <c r="AD11"/>
    </row>
    <row r="12" spans="1:30" ht="23.25" x14ac:dyDescent="0.25">
      <c r="A12" s="22"/>
      <c r="B12" s="27"/>
      <c r="C12" s="44"/>
      <c r="D12" s="44"/>
      <c r="E12" s="44"/>
      <c r="F12" s="44"/>
      <c r="G12" s="44"/>
      <c r="H12" s="46"/>
      <c r="I12" s="44"/>
      <c r="J12" s="44"/>
      <c r="K12" s="44"/>
      <c r="L12" s="44"/>
      <c r="M12" s="44"/>
      <c r="N12" s="44"/>
      <c r="O12" s="40">
        <f>SUM(tblРасходы52[[#This Row],[1]:[12]])</f>
        <v>0</v>
      </c>
      <c r="P12" s="21"/>
      <c r="AD12"/>
    </row>
    <row r="13" spans="1:30" ht="69.75" x14ac:dyDescent="0.25">
      <c r="A13" s="22" t="s">
        <v>100</v>
      </c>
      <c r="B13" s="18"/>
      <c r="C13" s="42"/>
      <c r="D13" s="42">
        <v>2630</v>
      </c>
      <c r="E13" s="42">
        <v>3244</v>
      </c>
      <c r="F13" s="42">
        <v>2895</v>
      </c>
      <c r="G13" s="42">
        <v>2895</v>
      </c>
      <c r="H13" s="42">
        <v>2895</v>
      </c>
      <c r="I13" s="42">
        <v>2895</v>
      </c>
      <c r="J13" s="42"/>
      <c r="K13" s="42"/>
      <c r="O13" s="40">
        <f>SUM(tblРасходы52[[#This Row],[1]:[12]])</f>
        <v>17454</v>
      </c>
      <c r="P13" s="21" t="s">
        <v>130</v>
      </c>
      <c r="AD13"/>
    </row>
    <row r="14" spans="1:30" ht="23.25" x14ac:dyDescent="0.25">
      <c r="A14" s="28" t="s">
        <v>48</v>
      </c>
      <c r="B14" s="2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31"/>
      <c r="AD14"/>
    </row>
    <row r="15" spans="1:30" ht="23.25" x14ac:dyDescent="0.25">
      <c r="A15" s="49" t="s">
        <v>60</v>
      </c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21"/>
      <c r="AD15"/>
    </row>
    <row r="16" spans="1:30" ht="21" x14ac:dyDescent="0.25">
      <c r="A16" s="52"/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AD16"/>
    </row>
    <row r="17" spans="1:30" ht="21" x14ac:dyDescent="0.25">
      <c r="A17" s="55" t="s">
        <v>61</v>
      </c>
      <c r="B17" s="5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40">
        <f>SUM(tblРасходы52[[#This Row],[1]:[12]])</f>
        <v>0</v>
      </c>
      <c r="P17" s="21"/>
      <c r="AD17"/>
    </row>
    <row r="18" spans="1:30" ht="21" x14ac:dyDescent="0.25">
      <c r="A18" s="55" t="s">
        <v>62</v>
      </c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40">
        <f>SUM(tblРасходы52[[#This Row],[1]:[12]])</f>
        <v>0</v>
      </c>
      <c r="P18" s="21"/>
      <c r="AD18"/>
    </row>
    <row r="19" spans="1:30" ht="67.5" customHeight="1" x14ac:dyDescent="0.25">
      <c r="A19" s="58" t="s">
        <v>63</v>
      </c>
      <c r="B19" s="58"/>
      <c r="C19" s="41"/>
      <c r="D19" s="59"/>
      <c r="E19" s="59">
        <v>2510</v>
      </c>
      <c r="F19" s="59">
        <v>-1020</v>
      </c>
      <c r="G19" s="57"/>
      <c r="H19" s="59">
        <v>-510</v>
      </c>
      <c r="I19" s="57"/>
      <c r="J19" s="57"/>
      <c r="K19" s="59"/>
      <c r="L19" s="59"/>
      <c r="M19" s="57"/>
      <c r="N19" s="57"/>
      <c r="O19" s="40">
        <f>SUM(tblРасходы52[[#This Row],[1]:[12]])</f>
        <v>980</v>
      </c>
      <c r="P19" s="21" t="s">
        <v>64</v>
      </c>
      <c r="AD19"/>
    </row>
    <row r="20" spans="1:30" ht="33" customHeight="1" x14ac:dyDescent="0.25">
      <c r="A20" s="58" t="s">
        <v>65</v>
      </c>
      <c r="B20" s="58"/>
      <c r="C20" s="60"/>
      <c r="D20" s="41"/>
      <c r="E20" s="41"/>
      <c r="F20" s="60"/>
      <c r="G20" s="117">
        <v>-945</v>
      </c>
      <c r="H20" s="117"/>
      <c r="I20" s="117">
        <v>-326</v>
      </c>
      <c r="J20" s="60"/>
      <c r="K20" s="60"/>
      <c r="L20" s="46"/>
      <c r="M20" s="60"/>
      <c r="N20" s="60"/>
      <c r="O20" s="40">
        <f>SUM(tblРасходы52[[#This Row],[1]:[12]])</f>
        <v>-1271</v>
      </c>
      <c r="P20" s="21" t="s">
        <v>66</v>
      </c>
      <c r="AD20"/>
    </row>
    <row r="21" spans="1:30" ht="52.5" customHeight="1" x14ac:dyDescent="0.25">
      <c r="A21" s="61" t="s">
        <v>67</v>
      </c>
      <c r="B21" s="61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40">
        <f>SUM(tblРасходы52[[#This Row],[1]:[12]])</f>
        <v>0</v>
      </c>
      <c r="P21" s="21"/>
      <c r="AD21"/>
    </row>
    <row r="22" spans="1:30" ht="105" x14ac:dyDescent="0.25">
      <c r="A22" s="62" t="s">
        <v>68</v>
      </c>
      <c r="B22" s="62"/>
      <c r="C22" s="59">
        <v>-288</v>
      </c>
      <c r="D22" s="59">
        <v>-288</v>
      </c>
      <c r="E22" s="59">
        <v>-288</v>
      </c>
      <c r="F22" s="59">
        <v>-288</v>
      </c>
      <c r="G22" s="59"/>
      <c r="H22" s="59"/>
      <c r="I22" s="59"/>
      <c r="J22" s="59"/>
      <c r="K22" s="59">
        <v>-288</v>
      </c>
      <c r="L22" s="59">
        <v>-288</v>
      </c>
      <c r="M22" s="59">
        <v>-288</v>
      </c>
      <c r="N22" s="59">
        <v>-288</v>
      </c>
      <c r="O22" s="40">
        <f>SUM(tblРасходы52[[#This Row],[1]:[12]])</f>
        <v>-2304</v>
      </c>
      <c r="P22" s="21"/>
      <c r="AD22"/>
    </row>
    <row r="23" spans="1:30" ht="63" x14ac:dyDescent="0.25">
      <c r="A23" s="62" t="s">
        <v>69</v>
      </c>
      <c r="B23" s="62"/>
      <c r="C23" s="59"/>
      <c r="D23" s="59"/>
      <c r="E23" s="116">
        <v>-244</v>
      </c>
      <c r="F23" s="116">
        <v>-244</v>
      </c>
      <c r="G23" s="116">
        <v>-244</v>
      </c>
      <c r="H23" s="116">
        <v>-244</v>
      </c>
      <c r="I23" s="116">
        <v>-244</v>
      </c>
      <c r="J23" s="59"/>
      <c r="K23" s="59"/>
      <c r="L23" s="59"/>
      <c r="M23" s="59"/>
      <c r="N23" s="59"/>
      <c r="O23" s="115">
        <f>SUM(tblРасходы52[[#This Row],[1]:[12]])</f>
        <v>-1220</v>
      </c>
      <c r="P23" s="21"/>
      <c r="AD23"/>
    </row>
    <row r="24" spans="1:30" ht="42" x14ac:dyDescent="0.25">
      <c r="A24" s="62" t="s">
        <v>70</v>
      </c>
      <c r="B24" s="62"/>
      <c r="C24" s="59">
        <v>-344</v>
      </c>
      <c r="D24" s="59">
        <v>-344</v>
      </c>
      <c r="E24" s="59">
        <v>-688</v>
      </c>
      <c r="F24" s="59">
        <v>-688</v>
      </c>
      <c r="G24" s="59">
        <v>-344</v>
      </c>
      <c r="H24" s="59"/>
      <c r="I24" s="59"/>
      <c r="J24" s="59"/>
      <c r="K24" s="59">
        <v>-688</v>
      </c>
      <c r="L24" s="59">
        <v>-688</v>
      </c>
      <c r="M24" s="59">
        <v>-688</v>
      </c>
      <c r="N24" s="59">
        <v>-688</v>
      </c>
      <c r="O24" s="40">
        <f>SUM(tblРасходы52[[#This Row],[1]:[12]])</f>
        <v>-5160</v>
      </c>
      <c r="P24" s="63" t="s">
        <v>71</v>
      </c>
      <c r="AD24"/>
    </row>
    <row r="25" spans="1:30" ht="21" x14ac:dyDescent="0.25">
      <c r="A25" s="62"/>
      <c r="B25" s="62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4"/>
      <c r="AD25"/>
    </row>
    <row r="26" spans="1:30" ht="21" x14ac:dyDescent="0.25">
      <c r="A26" s="64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67"/>
      <c r="AD26"/>
    </row>
    <row r="27" spans="1:30" ht="21" x14ac:dyDescent="0.25">
      <c r="A27" s="58"/>
      <c r="B27" s="5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21"/>
      <c r="AD27"/>
    </row>
    <row r="28" spans="1:30" ht="26.25" x14ac:dyDescent="0.25">
      <c r="A28" s="68" t="s">
        <v>72</v>
      </c>
      <c r="B28" s="6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69" t="s">
        <v>73</v>
      </c>
      <c r="AD28"/>
    </row>
    <row r="29" spans="1:30" ht="21" x14ac:dyDescent="0.25">
      <c r="A29" s="55"/>
      <c r="B29" s="55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21"/>
      <c r="AD29"/>
    </row>
    <row r="30" spans="1:30" ht="63" x14ac:dyDescent="0.25">
      <c r="A30" s="70" t="s">
        <v>74</v>
      </c>
      <c r="B30" s="70"/>
      <c r="C30" s="60"/>
      <c r="D30" s="60">
        <v>-512</v>
      </c>
      <c r="E30" s="46"/>
      <c r="F30" s="60">
        <v>-512</v>
      </c>
      <c r="G30" s="46"/>
      <c r="H30" s="60">
        <v>-512</v>
      </c>
      <c r="I30" s="60"/>
      <c r="J30" s="60">
        <v>-512</v>
      </c>
      <c r="K30" s="46"/>
      <c r="L30" s="60">
        <v>-512</v>
      </c>
      <c r="M30" s="60">
        <v>0</v>
      </c>
      <c r="N30" s="60">
        <v>-512</v>
      </c>
      <c r="O30" s="40">
        <f>SUM(tblРасходы52[[#This Row],[1]:[12]])</f>
        <v>-3072</v>
      </c>
      <c r="P30" s="21"/>
      <c r="AD30"/>
    </row>
    <row r="31" spans="1:30" ht="42" x14ac:dyDescent="0.25">
      <c r="A31" s="70" t="s">
        <v>75</v>
      </c>
      <c r="B31" s="70"/>
      <c r="C31" s="41"/>
      <c r="D31" s="41"/>
      <c r="E31" s="41"/>
      <c r="F31" s="46"/>
      <c r="G31" s="46"/>
      <c r="H31" s="46"/>
      <c r="I31" s="46"/>
      <c r="J31" s="46"/>
      <c r="K31" s="46"/>
      <c r="L31" s="46"/>
      <c r="M31" s="46"/>
      <c r="N31" s="46"/>
      <c r="O31" s="40">
        <f>SUM(tblРасходы52[[#This Row],[1]:[12]])</f>
        <v>0</v>
      </c>
      <c r="P31" s="21"/>
      <c r="AD31"/>
    </row>
    <row r="32" spans="1:30" ht="147" x14ac:dyDescent="0.25">
      <c r="A32" s="70" t="s">
        <v>76</v>
      </c>
      <c r="B32" s="70"/>
      <c r="C32" s="60">
        <v>-385</v>
      </c>
      <c r="D32" s="60"/>
      <c r="E32" s="60">
        <v>-756</v>
      </c>
      <c r="F32" s="60"/>
      <c r="G32" s="60">
        <v>-756</v>
      </c>
      <c r="H32" s="60"/>
      <c r="I32" s="60">
        <v>-756</v>
      </c>
      <c r="J32" s="60"/>
      <c r="K32" s="60">
        <v>-756</v>
      </c>
      <c r="L32" s="60"/>
      <c r="M32" s="60">
        <v>-756</v>
      </c>
      <c r="N32" s="60"/>
      <c r="O32" s="40">
        <f>SUM(tblРасходы52[[#This Row],[1]:[12]])</f>
        <v>-4165</v>
      </c>
      <c r="P32" s="21" t="s">
        <v>77</v>
      </c>
      <c r="AD32"/>
    </row>
    <row r="33" spans="1:30" ht="42" x14ac:dyDescent="0.25">
      <c r="A33" s="70" t="s">
        <v>78</v>
      </c>
      <c r="B33" s="7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40">
        <f>SUM(tblРасходы52[[#This Row],[1]:[12]])</f>
        <v>0</v>
      </c>
      <c r="P33" s="21"/>
      <c r="AD33"/>
    </row>
    <row r="34" spans="1:30" ht="21" x14ac:dyDescent="0.25">
      <c r="A34" s="70" t="s">
        <v>79</v>
      </c>
      <c r="B34" s="70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40">
        <f>SUM(tblРасходы52[[#This Row],[1]:[12]])</f>
        <v>0</v>
      </c>
      <c r="P34" s="21"/>
      <c r="AD34"/>
    </row>
    <row r="35" spans="1:30" ht="21" x14ac:dyDescent="0.25">
      <c r="A35" s="70" t="s">
        <v>101</v>
      </c>
      <c r="B35" s="70"/>
      <c r="C35" s="60">
        <v>-284</v>
      </c>
      <c r="D35" s="60">
        <v>-3465</v>
      </c>
      <c r="E35" s="60">
        <v>-2566</v>
      </c>
      <c r="F35" s="60">
        <v>-1344</v>
      </c>
      <c r="G35" s="60">
        <v>-640</v>
      </c>
      <c r="H35" s="60">
        <v>-640</v>
      </c>
      <c r="I35" s="60">
        <v>-640</v>
      </c>
      <c r="J35" s="60">
        <v>-640</v>
      </c>
      <c r="K35" s="60">
        <v>-640</v>
      </c>
      <c r="L35" s="60">
        <v>-640</v>
      </c>
      <c r="M35" s="60">
        <v>-640</v>
      </c>
      <c r="N35" s="60">
        <v>-640</v>
      </c>
      <c r="O35" s="40">
        <f>SUM(tblРасходы52[[#This Row],[1]:[12]])</f>
        <v>-12779</v>
      </c>
      <c r="P35" s="21"/>
      <c r="AD35"/>
    </row>
    <row r="36" spans="1:30" ht="21" x14ac:dyDescent="0.25">
      <c r="A36" s="70" t="s">
        <v>102</v>
      </c>
      <c r="B36" s="71"/>
      <c r="C36" s="60"/>
      <c r="D36" s="60">
        <v>-2000</v>
      </c>
      <c r="E36" s="60">
        <v>-800</v>
      </c>
      <c r="F36" s="60">
        <v>-450</v>
      </c>
      <c r="G36" s="60">
        <v>-450</v>
      </c>
      <c r="H36" s="60">
        <v>-450</v>
      </c>
      <c r="I36" s="60">
        <v>-450</v>
      </c>
      <c r="J36" s="60">
        <v>-400</v>
      </c>
      <c r="K36" s="60"/>
      <c r="L36" s="60"/>
      <c r="M36" s="60"/>
      <c r="N36" s="60"/>
      <c r="O36" s="40">
        <f>SUM(tblРасходы52[[#This Row],[1]:[12]])</f>
        <v>-5000</v>
      </c>
      <c r="P36" s="21"/>
      <c r="AD36"/>
    </row>
    <row r="37" spans="1:30" ht="21" x14ac:dyDescent="0.25">
      <c r="A37" s="70" t="s">
        <v>80</v>
      </c>
      <c r="B37" s="70"/>
      <c r="C37" s="41"/>
      <c r="D37" s="41"/>
      <c r="E37" s="41"/>
      <c r="F37" s="56"/>
      <c r="G37" s="56"/>
      <c r="H37" s="56"/>
      <c r="I37" s="56"/>
      <c r="J37" s="56"/>
      <c r="K37" s="56"/>
      <c r="L37" s="56"/>
      <c r="M37" s="56"/>
      <c r="N37" s="56"/>
      <c r="O37" s="40">
        <f>SUM(tblРасходы52[[#This Row],[1]:[12]])</f>
        <v>0</v>
      </c>
      <c r="P37" s="21"/>
      <c r="AD37"/>
    </row>
    <row r="38" spans="1:30" ht="42" x14ac:dyDescent="0.25">
      <c r="A38" s="70" t="s">
        <v>81</v>
      </c>
      <c r="B38" s="70"/>
      <c r="C38" s="60"/>
      <c r="D38" s="60"/>
      <c r="E38" s="60"/>
      <c r="F38" s="41"/>
      <c r="G38" s="60"/>
      <c r="H38" s="60"/>
      <c r="I38" s="60"/>
      <c r="J38" s="60"/>
      <c r="K38" s="60"/>
      <c r="L38" s="60"/>
      <c r="M38" s="60"/>
      <c r="N38" s="46"/>
      <c r="O38" s="40">
        <f>SUM(tblРасходы52[[#This Row],[1]:[12]])</f>
        <v>0</v>
      </c>
      <c r="P38" s="21"/>
      <c r="AD38"/>
    </row>
    <row r="39" spans="1:30" ht="42" x14ac:dyDescent="0.25">
      <c r="A39" s="70" t="s">
        <v>82</v>
      </c>
      <c r="B39" s="7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40">
        <f>SUM(tblРасходы52[[#This Row],[1]:[12]])</f>
        <v>0</v>
      </c>
      <c r="P39" s="21"/>
      <c r="AD39"/>
    </row>
    <row r="40" spans="1:30" ht="21" x14ac:dyDescent="0.25">
      <c r="A40" s="70"/>
      <c r="B40" s="70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72"/>
      <c r="P40" s="21"/>
      <c r="AD40"/>
    </row>
    <row r="41" spans="1:30" ht="21" x14ac:dyDescent="0.25">
      <c r="A41" s="73"/>
      <c r="B41" s="7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7"/>
      <c r="P41" s="21"/>
      <c r="AD41"/>
    </row>
    <row r="42" spans="1:30" ht="21" x14ac:dyDescent="0.25">
      <c r="A42" s="64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6"/>
      <c r="P42" s="67"/>
      <c r="AD42"/>
    </row>
    <row r="43" spans="1:30" ht="21" x14ac:dyDescent="0.25">
      <c r="A43" s="71"/>
      <c r="B43" s="71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21"/>
      <c r="AD43"/>
    </row>
    <row r="44" spans="1:30" ht="23.25" x14ac:dyDescent="0.25">
      <c r="A44" s="68" t="s">
        <v>83</v>
      </c>
      <c r="B44" s="6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7"/>
      <c r="P44" s="21"/>
      <c r="AD44"/>
    </row>
    <row r="45" spans="1:30" ht="21" x14ac:dyDescent="0.25">
      <c r="A45" s="62"/>
      <c r="B45" s="62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54"/>
      <c r="AD45"/>
    </row>
    <row r="46" spans="1:30" ht="42" x14ac:dyDescent="0.25">
      <c r="A46" s="74" t="s">
        <v>84</v>
      </c>
      <c r="B46" s="74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40">
        <f>SUM(tblРасходы52[[#This Row],[1]:[12]])</f>
        <v>0</v>
      </c>
      <c r="P46" s="21"/>
      <c r="AD46"/>
    </row>
    <row r="47" spans="1:30" ht="42" x14ac:dyDescent="0.25">
      <c r="A47" s="75" t="s">
        <v>85</v>
      </c>
      <c r="B47" s="75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40">
        <f>SUM(tblРасходы52[[#This Row],[1]:[12]])</f>
        <v>0</v>
      </c>
      <c r="P47" s="21"/>
      <c r="AD47"/>
    </row>
    <row r="48" spans="1:30" ht="42" x14ac:dyDescent="0.25">
      <c r="A48" s="76" t="s">
        <v>86</v>
      </c>
      <c r="B48" s="7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40">
        <f>SUM(tblРасходы52[[#This Row],[1]:[12]])</f>
        <v>0</v>
      </c>
      <c r="P48" s="21"/>
      <c r="AD48"/>
    </row>
    <row r="49" spans="1:30" ht="63" x14ac:dyDescent="0.25">
      <c r="A49" s="76" t="s">
        <v>103</v>
      </c>
      <c r="B49" s="76"/>
      <c r="C49" s="59">
        <f>C13*45%</f>
        <v>0</v>
      </c>
      <c r="D49" s="59">
        <f t="shared" ref="D49:I49" si="0">-D13*30%</f>
        <v>-789</v>
      </c>
      <c r="E49" s="59">
        <f t="shared" si="0"/>
        <v>-973.19999999999993</v>
      </c>
      <c r="F49" s="59">
        <f t="shared" si="0"/>
        <v>-868.5</v>
      </c>
      <c r="G49" s="59">
        <f t="shared" si="0"/>
        <v>-868.5</v>
      </c>
      <c r="H49" s="59">
        <f t="shared" si="0"/>
        <v>-868.5</v>
      </c>
      <c r="I49" s="59">
        <f t="shared" si="0"/>
        <v>-868.5</v>
      </c>
      <c r="J49" s="59"/>
      <c r="K49" s="59"/>
      <c r="L49" s="59"/>
      <c r="M49" s="59"/>
      <c r="N49" s="59"/>
      <c r="O49" s="40">
        <f>SUM(tblРасходы52[[#This Row],[1]:[12]])</f>
        <v>-5236.2</v>
      </c>
      <c r="P49" s="21"/>
      <c r="AD49"/>
    </row>
    <row r="50" spans="1:30" ht="42" x14ac:dyDescent="0.25">
      <c r="A50" s="76" t="s">
        <v>87</v>
      </c>
      <c r="B50" s="7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40">
        <f>SUM(tblРасходы52[[#This Row],[1]:[12]])</f>
        <v>0</v>
      </c>
      <c r="P50" s="21"/>
      <c r="AD50"/>
    </row>
    <row r="51" spans="1:30" ht="21" x14ac:dyDescent="0.25">
      <c r="A51" s="62"/>
      <c r="B51" s="62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21"/>
      <c r="AD51"/>
    </row>
    <row r="52" spans="1:30" ht="21" x14ac:dyDescent="0.25">
      <c r="A52" s="64"/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6"/>
      <c r="P52" s="67"/>
      <c r="AD52"/>
    </row>
    <row r="53" spans="1:30" ht="21" x14ac:dyDescent="0.25">
      <c r="A53" s="62"/>
      <c r="B53" s="6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21"/>
      <c r="AD53"/>
    </row>
    <row r="54" spans="1:30" ht="23.25" x14ac:dyDescent="0.25">
      <c r="A54" s="68" t="s">
        <v>88</v>
      </c>
      <c r="B54" s="6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21"/>
      <c r="AD54"/>
    </row>
    <row r="55" spans="1:30" ht="26.25" x14ac:dyDescent="0.25">
      <c r="A55" s="55" t="s">
        <v>89</v>
      </c>
      <c r="B55" s="77" t="s">
        <v>90</v>
      </c>
      <c r="C55" s="78">
        <v>-609</v>
      </c>
      <c r="D55" s="78">
        <v>-609</v>
      </c>
      <c r="E55" s="79">
        <v>-800</v>
      </c>
      <c r="F55" s="79">
        <v>-800</v>
      </c>
      <c r="G55" s="79">
        <v>-800</v>
      </c>
      <c r="H55" s="79">
        <v>-800</v>
      </c>
      <c r="I55" s="79">
        <v>-800</v>
      </c>
      <c r="J55" s="79">
        <v>-800</v>
      </c>
      <c r="K55" s="79">
        <v>-800</v>
      </c>
      <c r="O55" s="40">
        <f>SUM(tblРасходы52[[#This Row],[1]:[12]])</f>
        <v>-6818</v>
      </c>
      <c r="P55" s="21"/>
      <c r="AD55"/>
    </row>
    <row r="56" spans="1:30" ht="26.25" x14ac:dyDescent="0.25">
      <c r="A56" s="55" t="s">
        <v>104</v>
      </c>
      <c r="B56" s="99"/>
      <c r="C56" s="100"/>
      <c r="D56" s="100"/>
      <c r="E56" s="109">
        <v>-600</v>
      </c>
      <c r="F56" s="109">
        <v>-600</v>
      </c>
      <c r="G56" s="109">
        <v>-600</v>
      </c>
      <c r="H56" s="109">
        <v>-600</v>
      </c>
      <c r="I56" s="109">
        <v>-600</v>
      </c>
      <c r="J56" s="109">
        <v>-600</v>
      </c>
      <c r="K56" s="109">
        <v>-600</v>
      </c>
      <c r="O56" s="115">
        <f>SUM(tblРасходы52[[#This Row],[1]:[12]])</f>
        <v>-4200</v>
      </c>
      <c r="P56" s="21"/>
      <c r="AD56"/>
    </row>
    <row r="57" spans="1:30" ht="21" x14ac:dyDescent="0.25">
      <c r="A57" s="55" t="s">
        <v>91</v>
      </c>
      <c r="B57" s="80"/>
      <c r="C57" s="59">
        <v>-708</v>
      </c>
      <c r="D57" s="59">
        <v>-407</v>
      </c>
      <c r="E57" s="59">
        <v>-921</v>
      </c>
      <c r="F57" s="59">
        <v>-921</v>
      </c>
      <c r="G57" s="59">
        <v>-921</v>
      </c>
      <c r="H57" s="59">
        <v>-407</v>
      </c>
      <c r="I57" s="59">
        <v>0</v>
      </c>
      <c r="J57" s="59">
        <v>0</v>
      </c>
      <c r="K57" s="59">
        <v>-921</v>
      </c>
      <c r="L57" s="59">
        <v>-921</v>
      </c>
      <c r="M57" s="59">
        <v>-921</v>
      </c>
      <c r="N57" s="59">
        <v>-921</v>
      </c>
      <c r="O57" s="40">
        <f>SUM(tblРасходы52[[#This Row],[1]:[12]])</f>
        <v>-7969</v>
      </c>
      <c r="P57" s="21"/>
      <c r="AD57"/>
    </row>
    <row r="58" spans="1:30" ht="42" x14ac:dyDescent="0.25">
      <c r="A58" s="55" t="s">
        <v>92</v>
      </c>
      <c r="B58" s="55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40">
        <f>SUM(tblРасходы52[[#This Row],[1]:[12]])</f>
        <v>0</v>
      </c>
      <c r="P58" s="21"/>
      <c r="AD58"/>
    </row>
    <row r="59" spans="1:30" ht="42" x14ac:dyDescent="0.25">
      <c r="A59" s="55" t="s">
        <v>96</v>
      </c>
      <c r="B59" s="55"/>
      <c r="C59" s="60">
        <v>-105</v>
      </c>
      <c r="D59" s="60">
        <v>-105</v>
      </c>
      <c r="E59" s="60">
        <v>-105</v>
      </c>
      <c r="F59" s="60">
        <v>-105</v>
      </c>
      <c r="G59" s="60">
        <v>-105</v>
      </c>
      <c r="H59" s="60">
        <v>-105</v>
      </c>
      <c r="I59" s="60">
        <v>-105</v>
      </c>
      <c r="J59" s="60">
        <v>-105</v>
      </c>
      <c r="K59" s="60">
        <v>-105</v>
      </c>
      <c r="L59" s="60">
        <v>-105</v>
      </c>
      <c r="M59" s="60">
        <v>-105</v>
      </c>
      <c r="N59" s="60">
        <v>-105</v>
      </c>
      <c r="O59" s="40">
        <f>SUM(tblРасходы52[[#This Row],[1]:[12]])</f>
        <v>-1260</v>
      </c>
      <c r="P59" s="21"/>
      <c r="AD59"/>
    </row>
    <row r="60" spans="1:30" ht="215.25" customHeight="1" x14ac:dyDescent="0.25">
      <c r="A60" s="77" t="s">
        <v>105</v>
      </c>
      <c r="B60" s="103" t="s">
        <v>118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40"/>
      <c r="P60" s="82" t="s">
        <v>50</v>
      </c>
      <c r="AD60"/>
    </row>
    <row r="61" spans="1:30" ht="21" x14ac:dyDescent="0.25">
      <c r="A61" s="101" t="s">
        <v>106</v>
      </c>
      <c r="B61" s="99"/>
      <c r="C61" s="81">
        <v>-1050</v>
      </c>
      <c r="D61" s="81">
        <v>-1050</v>
      </c>
      <c r="E61" s="81">
        <v>-1050</v>
      </c>
      <c r="F61" s="81">
        <v>-1050</v>
      </c>
      <c r="G61" s="81">
        <v>-1050</v>
      </c>
      <c r="H61" s="81">
        <v>-1050</v>
      </c>
      <c r="I61" s="81">
        <v>-1050</v>
      </c>
      <c r="J61" s="81">
        <v>-1050</v>
      </c>
      <c r="K61" s="81">
        <v>-1050</v>
      </c>
      <c r="L61" s="81">
        <v>-1050</v>
      </c>
      <c r="M61" s="81">
        <v>-1050</v>
      </c>
      <c r="N61" s="81">
        <v>-1050</v>
      </c>
      <c r="O61" s="40">
        <f>SUM(tblРасходы52[[#This Row],[1]:[12]])</f>
        <v>-12600</v>
      </c>
      <c r="P61" s="82"/>
      <c r="AD61"/>
    </row>
    <row r="62" spans="1:30" ht="21" x14ac:dyDescent="0.25">
      <c r="A62" s="101" t="s">
        <v>107</v>
      </c>
      <c r="B62" s="99"/>
      <c r="C62" s="81">
        <v>-1050</v>
      </c>
      <c r="D62" s="81">
        <v>-1050</v>
      </c>
      <c r="E62" s="81">
        <v>-1050</v>
      </c>
      <c r="F62" s="81">
        <v>-1050</v>
      </c>
      <c r="G62" s="81">
        <v>-1050</v>
      </c>
      <c r="H62" s="81">
        <v>-1050</v>
      </c>
      <c r="I62" s="81">
        <v>-1050</v>
      </c>
      <c r="J62" s="81">
        <v>-1050</v>
      </c>
      <c r="K62" s="81">
        <v>-1050</v>
      </c>
      <c r="L62" s="81">
        <v>-1050</v>
      </c>
      <c r="M62" s="81">
        <v>-1050</v>
      </c>
      <c r="N62" s="81">
        <v>-1050</v>
      </c>
      <c r="O62" s="40">
        <f>SUM(tblРасходы52[[#This Row],[1]:[12]])</f>
        <v>-12600</v>
      </c>
      <c r="P62" s="82"/>
      <c r="AD62"/>
    </row>
    <row r="63" spans="1:30" ht="21" x14ac:dyDescent="0.25">
      <c r="A63" s="101" t="s">
        <v>108</v>
      </c>
      <c r="B63" s="99"/>
      <c r="C63" s="81">
        <v>-653</v>
      </c>
      <c r="D63" s="81">
        <v>-653</v>
      </c>
      <c r="E63" s="81">
        <v>-653</v>
      </c>
      <c r="F63" s="81">
        <v>-653</v>
      </c>
      <c r="G63" s="81">
        <v>-653</v>
      </c>
      <c r="H63" s="81">
        <v>-653</v>
      </c>
      <c r="I63" s="81">
        <v>-653</v>
      </c>
      <c r="J63" s="81">
        <v>-653</v>
      </c>
      <c r="K63" s="81">
        <v>-653</v>
      </c>
      <c r="L63" s="81">
        <v>-653</v>
      </c>
      <c r="M63" s="81">
        <v>-653</v>
      </c>
      <c r="N63" s="81">
        <v>-653</v>
      </c>
      <c r="O63" s="40">
        <f>SUM(tblРасходы52[[#This Row],[1]:[12]])</f>
        <v>-7836</v>
      </c>
      <c r="P63" s="82"/>
      <c r="AD63"/>
    </row>
    <row r="64" spans="1:30" ht="42" x14ac:dyDescent="0.25">
      <c r="A64" s="101" t="s">
        <v>109</v>
      </c>
      <c r="B64" s="99"/>
      <c r="C64" s="81">
        <v>-247</v>
      </c>
      <c r="D64" s="81">
        <v>-247</v>
      </c>
      <c r="E64" s="81">
        <v>-247</v>
      </c>
      <c r="F64" s="81">
        <v>-247</v>
      </c>
      <c r="G64" s="81">
        <v>-247</v>
      </c>
      <c r="H64" s="81">
        <v>-247</v>
      </c>
      <c r="I64" s="81">
        <v>-247</v>
      </c>
      <c r="J64" s="81">
        <v>-247</v>
      </c>
      <c r="K64" s="81">
        <v>-247</v>
      </c>
      <c r="L64" s="81">
        <v>-247</v>
      </c>
      <c r="M64" s="81">
        <v>-247</v>
      </c>
      <c r="N64" s="81">
        <v>-247</v>
      </c>
      <c r="O64" s="40">
        <f>SUM(tblРасходы52[[#This Row],[1]:[12]])</f>
        <v>-2964</v>
      </c>
      <c r="P64" s="82"/>
      <c r="AD64"/>
    </row>
    <row r="65" spans="1:30" ht="42" x14ac:dyDescent="0.25">
      <c r="A65" s="77" t="s">
        <v>93</v>
      </c>
      <c r="B65" s="83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40">
        <f>SUM(tblРасходы52[[#This Row],[1]:[12]])</f>
        <v>0</v>
      </c>
      <c r="P65" s="57"/>
      <c r="AD65"/>
    </row>
    <row r="66" spans="1:30" ht="21" x14ac:dyDescent="0.2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57"/>
      <c r="P66" s="84"/>
      <c r="AD66"/>
    </row>
    <row r="67" spans="1:30" ht="23.25" x14ac:dyDescent="0.25">
      <c r="A67" s="85" t="s">
        <v>94</v>
      </c>
      <c r="B67" s="85"/>
      <c r="C67" s="87">
        <f>SUBTOTAL(109,tblРасходы52[1])</f>
        <v>13186.849999999999</v>
      </c>
      <c r="D67" s="87">
        <f>SUBTOTAL(109,tblРасходы52[2])</f>
        <v>8711</v>
      </c>
      <c r="E67" s="87">
        <f>SUBTOTAL(109,tblРасходы52[3])</f>
        <v>7532.9500000000007</v>
      </c>
      <c r="F67" s="87">
        <f>SUBTOTAL(109,tblРасходы52[4])</f>
        <v>12374.5</v>
      </c>
      <c r="G67" s="87">
        <f>SUBTOTAL(109,tblРасходы52[5])</f>
        <v>-6778.5</v>
      </c>
      <c r="H67" s="87">
        <f>SUBTOTAL(109,tblРасходы52[6])</f>
        <v>14558.5</v>
      </c>
      <c r="I67" s="87">
        <f>SUBTOTAL(109,tblРасходы52[7])</f>
        <v>-4894.5</v>
      </c>
      <c r="J67" s="87">
        <f>SUBTOTAL(109,tblРасходы52[8])</f>
        <v>-6057</v>
      </c>
      <c r="K67" s="87">
        <f>SUBTOTAL(109,tblРасходы52[9])</f>
        <v>1002</v>
      </c>
      <c r="L67" s="87">
        <f>SUBTOTAL(109,tblРасходы52[10])</f>
        <v>-6154</v>
      </c>
      <c r="M67" s="87">
        <f>SUBTOTAL(109,tblРасходы52[11])</f>
        <v>-6398</v>
      </c>
      <c r="N67" s="87">
        <f>SUBTOTAL(109,tblРасходы52[12])</f>
        <v>-6154</v>
      </c>
      <c r="O67" s="86">
        <f>SUBTOTAL(109,tblРасходы52[TOTAL])</f>
        <v>20929.800000000003</v>
      </c>
      <c r="P67" s="88"/>
      <c r="AD67"/>
    </row>
    <row r="68" spans="1:30" x14ac:dyDescent="0.25">
      <c r="AC68" t="s">
        <v>50</v>
      </c>
    </row>
    <row r="69" spans="1:30" ht="28.5" x14ac:dyDescent="0.45">
      <c r="A69" s="105" t="s">
        <v>49</v>
      </c>
      <c r="B69" s="105"/>
      <c r="C69" s="106"/>
      <c r="D69" s="106">
        <f>tblРасходы52[[#Totals],[1]]+tblРасходы52[[#Totals],[2]]</f>
        <v>21897.85</v>
      </c>
      <c r="E69" s="107">
        <f>D69+tblРасходы52[[#Totals],[3]]</f>
        <v>29430.799999999999</v>
      </c>
      <c r="F69" s="107">
        <f>E69+tblРасходы52[[#Totals],[4]]</f>
        <v>41805.300000000003</v>
      </c>
      <c r="G69" s="107">
        <f>F69+tblРасходы52[[#Totals],[5]]</f>
        <v>35026.800000000003</v>
      </c>
      <c r="H69" s="107">
        <f>G69+tblРасходы52[[#Totals],[6]]</f>
        <v>49585.3</v>
      </c>
      <c r="I69" s="107">
        <f>H69+tblРасходы52[[#Totals],[7]]</f>
        <v>44690.8</v>
      </c>
      <c r="J69" s="107">
        <f>I69+tblРасходы52[[#Totals],[8]]</f>
        <v>38633.800000000003</v>
      </c>
      <c r="K69" s="107">
        <f>J69+tblРасходы52[[#Totals],[9]]</f>
        <v>39635.800000000003</v>
      </c>
      <c r="L69" s="107">
        <f>K69+tblРасходы52[[#Totals],[10]]</f>
        <v>33481.800000000003</v>
      </c>
      <c r="M69" s="107">
        <f>L69+tblРасходы52[[#Totals],[11]]</f>
        <v>27083.800000000003</v>
      </c>
      <c r="N69" s="107">
        <f>M69+tblРасходы52[[#Totals],[12]]</f>
        <v>20929.800000000003</v>
      </c>
      <c r="O69" s="89"/>
    </row>
    <row r="70" spans="1:30" ht="23.25" x14ac:dyDescent="0.35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2"/>
    </row>
    <row r="71" spans="1:30" ht="23.25" x14ac:dyDescent="0.35">
      <c r="C71" s="93"/>
      <c r="D71" s="93"/>
      <c r="E71" s="93"/>
      <c r="L71" s="39"/>
      <c r="O71" s="94"/>
    </row>
    <row r="72" spans="1:30" ht="59.45" customHeight="1" x14ac:dyDescent="0.35">
      <c r="A72" s="95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2"/>
    </row>
    <row r="73" spans="1:30" ht="27.6" customHeight="1" x14ac:dyDescent="0.25">
      <c r="A73" s="95"/>
      <c r="C73" s="96"/>
      <c r="D73" s="96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30" x14ac:dyDescent="0.25">
      <c r="A74" s="95"/>
    </row>
    <row r="75" spans="1:30" x14ac:dyDescent="0.25">
      <c r="A75" s="95"/>
    </row>
    <row r="76" spans="1:30" x14ac:dyDescent="0.25">
      <c r="A76" s="95"/>
    </row>
    <row r="77" spans="1:30" x14ac:dyDescent="0.25">
      <c r="A77" s="95"/>
    </row>
    <row r="78" spans="1:30" x14ac:dyDescent="0.25">
      <c r="A78" s="95"/>
    </row>
    <row r="79" spans="1:30" x14ac:dyDescent="0.25">
      <c r="A79" s="95"/>
    </row>
  </sheetData>
  <pageMargins left="0.7" right="0.7" top="0.75" bottom="0.75" header="0.3" footer="0.3"/>
  <pageSetup paperSize="9" orientation="portrait" horizontalDpi="4294967293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40" zoomScaleNormal="40" workbookViewId="0">
      <selection activeCell="I19" sqref="I19"/>
    </sheetView>
  </sheetViews>
  <sheetFormatPr defaultColWidth="9.140625" defaultRowHeight="15" x14ac:dyDescent="0.25"/>
  <cols>
    <col min="1" max="1" width="54.85546875" style="2" customWidth="1"/>
    <col min="2" max="2" width="31.5703125" style="2" customWidth="1"/>
    <col min="3" max="14" width="23.7109375" style="2" customWidth="1"/>
    <col min="15" max="15" width="27.7109375" style="2" customWidth="1"/>
    <col min="16" max="16" width="54.42578125" style="2" customWidth="1"/>
    <col min="17" max="16384" width="9.140625" style="2"/>
  </cols>
  <sheetData>
    <row r="1" spans="1:16" ht="75" customHeight="1" x14ac:dyDescent="0.35">
      <c r="A1" s="1" t="s">
        <v>117</v>
      </c>
      <c r="B1" s="3" t="s">
        <v>116</v>
      </c>
      <c r="C1"/>
      <c r="D1"/>
      <c r="E1"/>
      <c r="F1"/>
      <c r="G1"/>
      <c r="H1"/>
      <c r="I1"/>
      <c r="J1"/>
      <c r="K1"/>
      <c r="L1" s="108" t="s">
        <v>123</v>
      </c>
      <c r="M1"/>
      <c r="N1"/>
      <c r="O1"/>
      <c r="P1"/>
    </row>
    <row r="2" spans="1:16" ht="21" x14ac:dyDescent="0.35">
      <c r="A2" s="4" t="s">
        <v>0</v>
      </c>
      <c r="B2" s="4"/>
      <c r="C2" s="5"/>
      <c r="D2" s="5">
        <v>2021</v>
      </c>
      <c r="E2" s="5"/>
      <c r="F2" s="5"/>
      <c r="G2" s="5"/>
      <c r="H2" s="5">
        <v>2021</v>
      </c>
      <c r="I2" s="5"/>
      <c r="J2" s="5"/>
      <c r="K2" s="5"/>
      <c r="L2" s="8">
        <v>2021</v>
      </c>
      <c r="M2" s="5"/>
      <c r="N2" s="5"/>
      <c r="O2" s="6"/>
      <c r="P2" s="6"/>
    </row>
    <row r="3" spans="1:16" ht="21" x14ac:dyDescent="0.35">
      <c r="A3" s="7" t="s">
        <v>1</v>
      </c>
      <c r="B3" s="7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11</v>
      </c>
      <c r="K3" s="9" t="s">
        <v>10</v>
      </c>
      <c r="L3" s="9" t="s">
        <v>2</v>
      </c>
      <c r="M3" s="9" t="s">
        <v>110</v>
      </c>
      <c r="N3" s="9" t="s">
        <v>111</v>
      </c>
      <c r="O3" s="10"/>
      <c r="P3" s="5"/>
    </row>
    <row r="4" spans="1:16" ht="21" x14ac:dyDescent="0.35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1" x14ac:dyDescent="0.25">
      <c r="A5" s="102"/>
      <c r="B5" s="14" t="s">
        <v>13</v>
      </c>
      <c r="C5" s="15" t="s">
        <v>26</v>
      </c>
      <c r="D5" s="15" t="s">
        <v>27</v>
      </c>
      <c r="E5" s="15" t="s">
        <v>28</v>
      </c>
      <c r="F5" s="15" t="s">
        <v>29</v>
      </c>
      <c r="G5" s="15" t="s">
        <v>30</v>
      </c>
      <c r="H5" s="15" t="s">
        <v>31</v>
      </c>
      <c r="I5" s="15" t="s">
        <v>32</v>
      </c>
      <c r="J5" s="15" t="s">
        <v>33</v>
      </c>
      <c r="K5" s="15" t="s">
        <v>34</v>
      </c>
      <c r="L5" s="15" t="s">
        <v>35</v>
      </c>
      <c r="M5" s="15" t="s">
        <v>112</v>
      </c>
      <c r="N5" s="15" t="s">
        <v>113</v>
      </c>
      <c r="O5" s="16" t="s">
        <v>36</v>
      </c>
      <c r="P5" s="13" t="s">
        <v>37</v>
      </c>
    </row>
    <row r="6" spans="1:16" ht="23.25" x14ac:dyDescent="0.25">
      <c r="A6" s="17" t="s">
        <v>128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  <c r="P6" s="21"/>
    </row>
    <row r="7" spans="1:16" ht="69.75" x14ac:dyDescent="0.25">
      <c r="A7" s="112" t="s">
        <v>38</v>
      </c>
      <c r="B7" s="114">
        <v>5451</v>
      </c>
      <c r="C7" s="23">
        <v>1660</v>
      </c>
      <c r="D7" s="23">
        <v>1166</v>
      </c>
      <c r="E7" s="23">
        <v>3568</v>
      </c>
      <c r="F7" s="23">
        <v>3568</v>
      </c>
      <c r="G7" s="23">
        <v>3568</v>
      </c>
      <c r="H7" s="23">
        <v>5478</v>
      </c>
      <c r="I7" s="23">
        <v>5478</v>
      </c>
      <c r="J7" s="23">
        <v>5478</v>
      </c>
      <c r="K7" s="23">
        <v>5478</v>
      </c>
      <c r="L7" s="23">
        <v>5478</v>
      </c>
      <c r="M7" s="23">
        <v>5478</v>
      </c>
      <c r="N7" s="23">
        <v>6204</v>
      </c>
      <c r="O7" s="23">
        <f>SUM(B7:N7)</f>
        <v>58053</v>
      </c>
      <c r="P7" s="21"/>
    </row>
    <row r="8" spans="1:16" ht="46.5" x14ac:dyDescent="0.25">
      <c r="A8" s="18" t="s">
        <v>125</v>
      </c>
      <c r="B8" s="114"/>
      <c r="C8" s="23"/>
      <c r="D8" s="23"/>
      <c r="E8" s="23"/>
      <c r="F8" s="23"/>
      <c r="G8" s="23"/>
      <c r="H8" s="23"/>
      <c r="I8" s="23"/>
      <c r="J8" s="23"/>
      <c r="K8" s="23"/>
      <c r="L8" s="111">
        <v>1400</v>
      </c>
      <c r="M8" s="111">
        <v>1400</v>
      </c>
      <c r="N8" s="111">
        <v>700</v>
      </c>
      <c r="O8" s="23">
        <f t="shared" ref="O8:O9" si="0">SUM(B8:N8)</f>
        <v>3500</v>
      </c>
      <c r="P8" s="21" t="s">
        <v>126</v>
      </c>
    </row>
    <row r="9" spans="1:16" ht="23.25" x14ac:dyDescent="0.25">
      <c r="A9" s="18" t="s">
        <v>47</v>
      </c>
      <c r="B9" s="113"/>
      <c r="C9" s="23"/>
      <c r="D9" s="23"/>
      <c r="E9" s="23">
        <v>355</v>
      </c>
      <c r="F9" s="23">
        <v>355</v>
      </c>
      <c r="G9" s="23">
        <v>355</v>
      </c>
      <c r="H9" s="23">
        <v>355</v>
      </c>
      <c r="I9" s="23">
        <v>355</v>
      </c>
      <c r="J9" s="23">
        <v>355</v>
      </c>
      <c r="K9" s="23">
        <v>355</v>
      </c>
      <c r="L9" s="23">
        <v>355</v>
      </c>
      <c r="M9" s="23"/>
      <c r="N9" s="23"/>
      <c r="O9" s="23">
        <f t="shared" si="0"/>
        <v>2840</v>
      </c>
      <c r="P9" s="21"/>
    </row>
    <row r="10" spans="1:16" ht="23.25" x14ac:dyDescent="0.25">
      <c r="A10" s="17" t="s">
        <v>127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1"/>
    </row>
    <row r="11" spans="1:16" ht="46.5" x14ac:dyDescent="0.25">
      <c r="A11" s="24" t="s">
        <v>129</v>
      </c>
      <c r="B11" s="18"/>
      <c r="C11" s="23"/>
      <c r="D11" s="23"/>
      <c r="E11" s="23"/>
      <c r="F11" s="23"/>
      <c r="G11" s="23"/>
      <c r="H11" s="23"/>
      <c r="I11" s="23"/>
      <c r="J11" s="23"/>
      <c r="K11" s="23"/>
      <c r="L11" s="111">
        <f>-L8*30%</f>
        <v>-420</v>
      </c>
      <c r="M11" s="111">
        <f t="shared" ref="M11:N11" si="1">-M8*30%</f>
        <v>-420</v>
      </c>
      <c r="N11" s="111">
        <f t="shared" si="1"/>
        <v>-210</v>
      </c>
      <c r="O11" s="20">
        <f t="shared" ref="O11:O23" si="2">SUM(B11:N11)</f>
        <v>-1050</v>
      </c>
      <c r="P11" s="21"/>
    </row>
    <row r="12" spans="1:16" ht="23.25" x14ac:dyDescent="0.25">
      <c r="A12" s="24" t="s">
        <v>39</v>
      </c>
      <c r="B12" s="22"/>
      <c r="C12" s="23"/>
      <c r="D12" s="23"/>
      <c r="E12" s="23"/>
      <c r="F12" s="23">
        <v>-3000</v>
      </c>
      <c r="G12" s="23"/>
      <c r="H12" s="23"/>
      <c r="I12" s="23"/>
      <c r="J12" s="23"/>
      <c r="K12" s="23"/>
      <c r="L12" s="23">
        <v>-3000</v>
      </c>
      <c r="M12" s="23"/>
      <c r="N12" s="23"/>
      <c r="O12" s="20">
        <f t="shared" si="2"/>
        <v>-6000</v>
      </c>
      <c r="P12" s="21"/>
    </row>
    <row r="13" spans="1:16" ht="23.25" x14ac:dyDescent="0.25">
      <c r="A13" s="25" t="s">
        <v>40</v>
      </c>
      <c r="B13" s="2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0">
        <f t="shared" si="2"/>
        <v>0</v>
      </c>
      <c r="P13" s="21"/>
    </row>
    <row r="14" spans="1:16" ht="23.25" x14ac:dyDescent="0.25">
      <c r="A14" s="25" t="s">
        <v>41</v>
      </c>
      <c r="B14" s="27"/>
      <c r="C14" s="23"/>
      <c r="D14" s="23">
        <v>-1360</v>
      </c>
      <c r="E14" s="23"/>
      <c r="F14" s="23">
        <v>-2874</v>
      </c>
      <c r="G14" s="23"/>
      <c r="H14" s="23">
        <v>-2874</v>
      </c>
      <c r="I14" s="23"/>
      <c r="J14" s="23">
        <v>-2874</v>
      </c>
      <c r="K14" s="23"/>
      <c r="L14" s="23">
        <v>-4210</v>
      </c>
      <c r="M14" s="23"/>
      <c r="N14" s="23">
        <v>-4210</v>
      </c>
      <c r="O14" s="20">
        <f t="shared" si="2"/>
        <v>-18402</v>
      </c>
      <c r="P14" s="21"/>
    </row>
    <row r="15" spans="1:16" ht="46.5" x14ac:dyDescent="0.25">
      <c r="A15" s="25" t="s">
        <v>42</v>
      </c>
      <c r="B15" s="27"/>
      <c r="C15" s="23"/>
      <c r="D15" s="23">
        <v>-465</v>
      </c>
      <c r="E15" s="23"/>
      <c r="F15" s="23">
        <v>-465</v>
      </c>
      <c r="G15" s="23"/>
      <c r="H15" s="23">
        <v>-465</v>
      </c>
      <c r="I15" s="23"/>
      <c r="J15" s="23"/>
      <c r="K15" s="23"/>
      <c r="L15" s="23"/>
      <c r="M15" s="23"/>
      <c r="N15" s="23"/>
      <c r="O15" s="20">
        <f t="shared" si="2"/>
        <v>-1395</v>
      </c>
      <c r="P15" s="21"/>
    </row>
    <row r="16" spans="1:16" ht="116.25" x14ac:dyDescent="0.25">
      <c r="A16" s="25" t="s">
        <v>43</v>
      </c>
      <c r="B16" s="27"/>
      <c r="C16" s="23">
        <v>-445</v>
      </c>
      <c r="D16" s="23"/>
      <c r="E16" s="23">
        <v>-445</v>
      </c>
      <c r="F16" s="23"/>
      <c r="G16" s="23">
        <v>-445</v>
      </c>
      <c r="H16" s="23"/>
      <c r="I16" s="23">
        <v>-445</v>
      </c>
      <c r="J16" s="23"/>
      <c r="K16" s="23">
        <v>-445</v>
      </c>
      <c r="L16" s="23"/>
      <c r="M16" s="23">
        <v>-445</v>
      </c>
      <c r="N16" s="23">
        <v>-445</v>
      </c>
      <c r="O16" s="20">
        <f t="shared" si="2"/>
        <v>-3115</v>
      </c>
      <c r="P16" s="21"/>
    </row>
    <row r="17" spans="1:16" ht="23.25" x14ac:dyDescent="0.25">
      <c r="A17" s="25" t="s">
        <v>44</v>
      </c>
      <c r="B17" s="27"/>
      <c r="C17" s="23">
        <v>-120</v>
      </c>
      <c r="D17" s="23">
        <v>-120</v>
      </c>
      <c r="E17" s="23">
        <v>-120</v>
      </c>
      <c r="F17" s="23">
        <v>-120</v>
      </c>
      <c r="G17" s="23">
        <v>-120</v>
      </c>
      <c r="H17" s="23">
        <v>-120</v>
      </c>
      <c r="I17" s="23">
        <v>-120</v>
      </c>
      <c r="J17" s="23">
        <v>-120</v>
      </c>
      <c r="K17" s="23">
        <v>-120</v>
      </c>
      <c r="L17" s="23">
        <v>-120</v>
      </c>
      <c r="M17" s="23">
        <v>-120</v>
      </c>
      <c r="N17" s="23">
        <v>-120</v>
      </c>
      <c r="O17" s="20">
        <f t="shared" si="2"/>
        <v>-1440</v>
      </c>
      <c r="P17" s="21"/>
    </row>
    <row r="18" spans="1:16" ht="46.5" x14ac:dyDescent="0.25">
      <c r="A18" s="25" t="s">
        <v>45</v>
      </c>
      <c r="B18" s="27"/>
      <c r="C18" s="23">
        <v>-18</v>
      </c>
      <c r="D18" s="23">
        <v>-18</v>
      </c>
      <c r="E18" s="23">
        <v>-18</v>
      </c>
      <c r="F18" s="23">
        <v>-18</v>
      </c>
      <c r="G18" s="23">
        <v>-18</v>
      </c>
      <c r="H18" s="23">
        <v>-18</v>
      </c>
      <c r="I18" s="23">
        <v>-18</v>
      </c>
      <c r="J18" s="23">
        <v>-18</v>
      </c>
      <c r="K18" s="23">
        <v>-18</v>
      </c>
      <c r="L18" s="23">
        <v>-18</v>
      </c>
      <c r="M18" s="23">
        <v>-18</v>
      </c>
      <c r="N18" s="23">
        <v>-18</v>
      </c>
      <c r="O18" s="20">
        <f t="shared" si="2"/>
        <v>-216</v>
      </c>
      <c r="P18" s="21"/>
    </row>
    <row r="19" spans="1:16" ht="46.5" x14ac:dyDescent="0.25">
      <c r="A19" s="17" t="s">
        <v>120</v>
      </c>
      <c r="B19" s="27"/>
      <c r="C19" s="23"/>
      <c r="D19" s="23"/>
      <c r="E19" s="111">
        <v>-1430</v>
      </c>
      <c r="F19" s="111">
        <v>-1430</v>
      </c>
      <c r="G19" s="111">
        <v>-1430</v>
      </c>
      <c r="H19" s="111">
        <v>-1430</v>
      </c>
      <c r="I19" s="111">
        <v>-1430</v>
      </c>
      <c r="J19" s="111">
        <v>-1430</v>
      </c>
      <c r="K19" s="111">
        <v>-1430</v>
      </c>
      <c r="L19" s="111">
        <v>-1430</v>
      </c>
      <c r="M19" s="111">
        <v>-1430</v>
      </c>
      <c r="N19" s="111">
        <v>-1430</v>
      </c>
      <c r="O19" s="20">
        <f t="shared" si="2"/>
        <v>-14300</v>
      </c>
      <c r="P19" s="21"/>
    </row>
    <row r="20" spans="1:16" ht="46.5" x14ac:dyDescent="0.25">
      <c r="A20" s="17" t="s">
        <v>121</v>
      </c>
      <c r="B20" s="27"/>
      <c r="C20" s="23"/>
      <c r="D20" s="23"/>
      <c r="E20" s="23"/>
      <c r="F20" s="23"/>
      <c r="G20" s="23"/>
      <c r="H20" s="23"/>
      <c r="I20" s="23"/>
      <c r="J20" s="23"/>
      <c r="K20" s="23"/>
      <c r="L20" s="23">
        <v>-800</v>
      </c>
      <c r="M20" s="23">
        <v>-800</v>
      </c>
      <c r="N20" s="23">
        <v>-800</v>
      </c>
      <c r="O20" s="20">
        <f t="shared" si="2"/>
        <v>-2400</v>
      </c>
      <c r="P20" s="21"/>
    </row>
    <row r="21" spans="1:16" ht="46.5" x14ac:dyDescent="0.25">
      <c r="A21" s="17" t="s">
        <v>122</v>
      </c>
      <c r="B21" s="27"/>
      <c r="C21" s="23"/>
      <c r="D21" s="23"/>
      <c r="E21" s="23"/>
      <c r="F21" s="23"/>
      <c r="G21" s="23"/>
      <c r="H21" s="23"/>
      <c r="I21" s="23"/>
      <c r="J21" s="23"/>
      <c r="K21" s="23"/>
      <c r="L21" s="111">
        <v>-600</v>
      </c>
      <c r="M21" s="111">
        <v>-600</v>
      </c>
      <c r="N21" s="111">
        <v>-600</v>
      </c>
      <c r="O21" s="20">
        <f t="shared" si="2"/>
        <v>-1800</v>
      </c>
      <c r="P21" s="21"/>
    </row>
    <row r="22" spans="1:16" ht="23.25" x14ac:dyDescent="0.25">
      <c r="A22" s="25" t="s">
        <v>46</v>
      </c>
      <c r="B22" s="27"/>
      <c r="C22" s="23">
        <f t="shared" ref="C22:E22" si="3">C12*20%</f>
        <v>0</v>
      </c>
      <c r="D22" s="23">
        <f t="shared" si="3"/>
        <v>0</v>
      </c>
      <c r="E22" s="23">
        <f t="shared" si="3"/>
        <v>0</v>
      </c>
      <c r="F22" s="23">
        <f>F12*20%</f>
        <v>-600</v>
      </c>
      <c r="G22" s="23">
        <f t="shared" ref="G22:N22" si="4">G12*20%</f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-600</v>
      </c>
      <c r="M22" s="23">
        <f t="shared" si="4"/>
        <v>0</v>
      </c>
      <c r="N22" s="23">
        <f t="shared" si="4"/>
        <v>0</v>
      </c>
      <c r="O22" s="20">
        <f t="shared" si="2"/>
        <v>-1200</v>
      </c>
      <c r="P22" s="21"/>
    </row>
    <row r="23" spans="1:16" ht="46.5" x14ac:dyDescent="0.25">
      <c r="A23" s="17" t="s">
        <v>114</v>
      </c>
      <c r="B23" s="27"/>
      <c r="C23" s="23"/>
      <c r="D23" s="23"/>
      <c r="E23" s="23"/>
      <c r="F23" s="23"/>
      <c r="G23" s="23"/>
      <c r="H23" s="23"/>
      <c r="I23" s="23"/>
      <c r="J23" s="23"/>
      <c r="K23" s="23"/>
      <c r="M23" s="98"/>
      <c r="N23" s="110">
        <v>-10000</v>
      </c>
      <c r="O23" s="20">
        <f t="shared" si="2"/>
        <v>-10000</v>
      </c>
      <c r="P23" s="21"/>
    </row>
    <row r="24" spans="1:16" ht="23.25" x14ac:dyDescent="0.25">
      <c r="A24" s="17"/>
      <c r="B24" s="27"/>
      <c r="O24" s="20"/>
      <c r="P24" s="21"/>
    </row>
    <row r="25" spans="1:16" ht="23.25" x14ac:dyDescent="0.25">
      <c r="A25" s="28" t="s">
        <v>115</v>
      </c>
      <c r="B25" s="30">
        <f t="shared" ref="B25:N25" si="5">SUM(B6:B23)</f>
        <v>5451</v>
      </c>
      <c r="C25" s="30">
        <f t="shared" si="5"/>
        <v>1077</v>
      </c>
      <c r="D25" s="30">
        <f t="shared" si="5"/>
        <v>-797</v>
      </c>
      <c r="E25" s="30">
        <f t="shared" si="5"/>
        <v>1910</v>
      </c>
      <c r="F25" s="30">
        <f t="shared" si="5"/>
        <v>-4584</v>
      </c>
      <c r="G25" s="30">
        <f t="shared" si="5"/>
        <v>1910</v>
      </c>
      <c r="H25" s="30">
        <f t="shared" si="5"/>
        <v>926</v>
      </c>
      <c r="I25" s="30">
        <f t="shared" si="5"/>
        <v>3820</v>
      </c>
      <c r="J25" s="30">
        <f t="shared" si="5"/>
        <v>1391</v>
      </c>
      <c r="K25" s="30">
        <f t="shared" si="5"/>
        <v>3820</v>
      </c>
      <c r="L25" s="30">
        <f t="shared" si="5"/>
        <v>-3965</v>
      </c>
      <c r="M25" s="30">
        <f t="shared" si="5"/>
        <v>3045</v>
      </c>
      <c r="N25" s="30">
        <f t="shared" si="5"/>
        <v>-10929</v>
      </c>
      <c r="O25" s="29">
        <f t="shared" ref="O25" si="6">SUM(O6:O24)</f>
        <v>3075</v>
      </c>
      <c r="P25" s="31"/>
    </row>
    <row r="26" spans="1:16" ht="23.25" x14ac:dyDescent="0.3">
      <c r="A26" s="28" t="s">
        <v>49</v>
      </c>
      <c r="B26" s="28"/>
      <c r="C26" s="30"/>
      <c r="D26" s="30">
        <f>C25+D25+B25</f>
        <v>5731</v>
      </c>
      <c r="E26" s="30">
        <f t="shared" ref="E26:K26" si="7">D26+E25</f>
        <v>7641</v>
      </c>
      <c r="F26" s="30">
        <f t="shared" si="7"/>
        <v>3057</v>
      </c>
      <c r="G26" s="30">
        <f t="shared" si="7"/>
        <v>4967</v>
      </c>
      <c r="H26" s="30">
        <f t="shared" si="7"/>
        <v>5893</v>
      </c>
      <c r="I26" s="30">
        <f t="shared" si="7"/>
        <v>9713</v>
      </c>
      <c r="J26" s="30">
        <f t="shared" si="7"/>
        <v>11104</v>
      </c>
      <c r="K26" s="30">
        <f t="shared" si="7"/>
        <v>14924</v>
      </c>
      <c r="L26" s="30">
        <f>K26+L25</f>
        <v>10959</v>
      </c>
      <c r="M26" s="30">
        <f t="shared" ref="M26:N26" si="8">L26+M25</f>
        <v>14004</v>
      </c>
      <c r="N26" s="30">
        <f t="shared" si="8"/>
        <v>3075</v>
      </c>
      <c r="O26" s="32" t="s">
        <v>50</v>
      </c>
    </row>
    <row r="27" spans="1:16" x14ac:dyDescent="0.25">
      <c r="O27" s="33"/>
    </row>
    <row r="28" spans="1:16" x14ac:dyDescent="0.25">
      <c r="O28" s="3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79"/>
  <sheetViews>
    <sheetView topLeftCell="A49" zoomScale="40" zoomScaleNormal="40" workbookViewId="0">
      <selection activeCell="H72" sqref="H72"/>
    </sheetView>
  </sheetViews>
  <sheetFormatPr defaultRowHeight="15" x14ac:dyDescent="0.25"/>
  <cols>
    <col min="1" max="1" width="54.85546875" style="2" customWidth="1"/>
    <col min="2" max="2" width="31.5703125" style="2" customWidth="1"/>
    <col min="3" max="3" width="28.140625" customWidth="1"/>
    <col min="4" max="13" width="23.7109375" customWidth="1"/>
    <col min="14" max="14" width="40.42578125" customWidth="1"/>
    <col min="15" max="15" width="54.42578125" customWidth="1"/>
    <col min="16" max="27" width="27.85546875" customWidth="1"/>
    <col min="28" max="28" width="30.42578125" customWidth="1"/>
    <col min="29" max="29" width="95.7109375" style="2" customWidth="1"/>
  </cols>
  <sheetData>
    <row r="3" spans="1:29" ht="94.5" x14ac:dyDescent="0.25">
      <c r="C3" s="3" t="s">
        <v>131</v>
      </c>
    </row>
    <row r="4" spans="1:29" ht="21" x14ac:dyDescent="0.35">
      <c r="A4" s="4" t="s">
        <v>0</v>
      </c>
      <c r="B4" s="4"/>
      <c r="C4" s="118"/>
      <c r="D4" s="5">
        <v>2020</v>
      </c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>
        <v>2021</v>
      </c>
      <c r="Z4" s="6"/>
      <c r="AA4" s="6"/>
      <c r="AB4" s="34"/>
    </row>
    <row r="5" spans="1:29" ht="51.75" customHeight="1" x14ac:dyDescent="0.35">
      <c r="A5" s="7" t="s">
        <v>132</v>
      </c>
      <c r="B5" s="7"/>
      <c r="C5" s="119" t="s">
        <v>133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134</v>
      </c>
      <c r="J5" s="8" t="s">
        <v>10</v>
      </c>
      <c r="K5" s="8" t="s">
        <v>2</v>
      </c>
      <c r="L5" s="120" t="s">
        <v>110</v>
      </c>
      <c r="M5" s="120" t="s">
        <v>111</v>
      </c>
      <c r="N5" s="10"/>
      <c r="O5" s="5"/>
      <c r="P5" s="5"/>
      <c r="Q5" s="5"/>
      <c r="R5" s="5"/>
      <c r="S5" s="5"/>
      <c r="T5" s="5"/>
      <c r="U5" s="5"/>
      <c r="V5" s="5"/>
      <c r="W5" s="8" t="s">
        <v>56</v>
      </c>
      <c r="X5" s="5"/>
      <c r="Y5" s="5"/>
      <c r="Z5" s="5"/>
      <c r="AA5" s="8" t="s">
        <v>57</v>
      </c>
      <c r="AB5" s="35"/>
    </row>
    <row r="6" spans="1:29" ht="9.75" customHeight="1" x14ac:dyDescent="0.35">
      <c r="A6" s="11"/>
      <c r="B6" s="11"/>
      <c r="C6" s="121"/>
      <c r="D6" s="12"/>
      <c r="E6" s="12"/>
      <c r="F6" s="12"/>
      <c r="G6" s="12"/>
      <c r="H6" s="12"/>
      <c r="I6" s="12"/>
      <c r="J6" s="122"/>
      <c r="K6" s="12"/>
      <c r="L6" s="122"/>
      <c r="M6" s="1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9" ht="63" x14ac:dyDescent="0.25">
      <c r="A7" s="13" t="s">
        <v>58</v>
      </c>
      <c r="B7" s="14" t="s">
        <v>59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15" t="s">
        <v>22</v>
      </c>
      <c r="L7" s="15" t="s">
        <v>23</v>
      </c>
      <c r="M7" s="15" t="s">
        <v>24</v>
      </c>
      <c r="N7" s="16" t="s">
        <v>36</v>
      </c>
      <c r="O7" s="13" t="s">
        <v>37</v>
      </c>
      <c r="AC7"/>
    </row>
    <row r="8" spans="1:29" ht="21" x14ac:dyDescent="0.25">
      <c r="A8" s="36"/>
      <c r="B8" s="36"/>
      <c r="C8" s="123" t="s">
        <v>135</v>
      </c>
      <c r="D8" s="37" t="s">
        <v>135</v>
      </c>
      <c r="E8" s="37"/>
      <c r="F8" s="37"/>
      <c r="G8" s="37"/>
      <c r="H8" s="37"/>
      <c r="I8" s="37"/>
      <c r="J8" s="37"/>
      <c r="K8" s="37"/>
      <c r="L8" s="37"/>
      <c r="M8" s="37"/>
      <c r="N8" s="38"/>
      <c r="O8" s="21"/>
      <c r="AC8"/>
    </row>
    <row r="9" spans="1:29" ht="46.5" x14ac:dyDescent="0.25">
      <c r="A9" s="22" t="s">
        <v>136</v>
      </c>
      <c r="B9" s="22"/>
      <c r="C9" s="39"/>
      <c r="D9" s="115">
        <v>26520</v>
      </c>
      <c r="E9" s="115">
        <v>17680</v>
      </c>
      <c r="F9" s="40"/>
      <c r="G9" s="40">
        <v>7170.69</v>
      </c>
      <c r="H9" s="40">
        <v>27602.71</v>
      </c>
      <c r="I9" s="40">
        <v>17386.7</v>
      </c>
      <c r="J9" s="40">
        <v>8693.35</v>
      </c>
      <c r="K9" s="124"/>
      <c r="L9" s="125">
        <v>17386.7</v>
      </c>
      <c r="M9" s="41"/>
      <c r="N9" s="40">
        <f>SUM(tblРасходы522[[#This Row],[1]:[11]])</f>
        <v>122440.15</v>
      </c>
      <c r="O9" s="21"/>
      <c r="AC9"/>
    </row>
    <row r="10" spans="1:29" ht="46.5" x14ac:dyDescent="0.35">
      <c r="A10" s="43" t="s">
        <v>137</v>
      </c>
      <c r="B10" s="26"/>
      <c r="C10" s="126">
        <v>4259</v>
      </c>
      <c r="D10" s="127"/>
      <c r="E10" s="40"/>
      <c r="F10" s="40"/>
      <c r="G10" s="40"/>
      <c r="H10" s="40"/>
      <c r="I10" s="40"/>
      <c r="J10" s="44"/>
      <c r="K10" s="45"/>
      <c r="L10" s="45"/>
      <c r="M10" s="45"/>
      <c r="N10" s="40">
        <f>SUM(tblРасходы522[[#This Row],[1]:[11]])</f>
        <v>4259</v>
      </c>
      <c r="O10" s="21"/>
      <c r="AC10"/>
    </row>
    <row r="11" spans="1:29" ht="69.75" x14ac:dyDescent="0.35">
      <c r="A11" s="22" t="s">
        <v>138</v>
      </c>
      <c r="B11" s="27"/>
      <c r="C11" s="126">
        <v>1843</v>
      </c>
      <c r="D11" s="40"/>
      <c r="E11" s="40"/>
      <c r="F11" s="40"/>
      <c r="G11" s="40"/>
      <c r="H11" s="40"/>
      <c r="I11" s="40"/>
      <c r="J11" s="44"/>
      <c r="K11" s="44"/>
      <c r="L11" s="44"/>
      <c r="M11" s="44"/>
      <c r="N11" s="40">
        <f>SUM(tblРасходы522[[#This Row],[1]:[11]])</f>
        <v>1843</v>
      </c>
      <c r="O11" s="21"/>
      <c r="AC11"/>
    </row>
    <row r="12" spans="1:29" ht="23.25" x14ac:dyDescent="0.35">
      <c r="A12" s="22"/>
      <c r="B12" s="27"/>
      <c r="C12" s="126"/>
      <c r="D12" s="40"/>
      <c r="E12" s="40"/>
      <c r="F12" s="40"/>
      <c r="G12" s="40"/>
      <c r="H12" s="40"/>
      <c r="I12" s="40"/>
      <c r="J12" s="44"/>
      <c r="K12" s="44"/>
      <c r="L12" s="44"/>
      <c r="M12" s="44"/>
      <c r="N12" s="40">
        <f>SUM(tblРасходы522[[#This Row],[1]:[11]])</f>
        <v>0</v>
      </c>
      <c r="O12" s="21"/>
      <c r="AC12"/>
    </row>
    <row r="13" spans="1:29" ht="23.25" x14ac:dyDescent="0.25">
      <c r="A13" s="22" t="s">
        <v>139</v>
      </c>
      <c r="B13" s="18"/>
      <c r="C13" s="40"/>
      <c r="D13" s="40"/>
      <c r="E13" s="40"/>
      <c r="F13" s="40"/>
      <c r="G13" s="40"/>
      <c r="H13" s="40"/>
      <c r="I13" s="128"/>
      <c r="J13" s="128"/>
      <c r="K13" s="128"/>
      <c r="L13" s="41"/>
      <c r="M13" s="125"/>
      <c r="N13" s="40">
        <f>SUM(tblРасходы522[[#This Row],[1]:[11]])</f>
        <v>0</v>
      </c>
      <c r="O13" s="21"/>
      <c r="AC13"/>
    </row>
    <row r="14" spans="1:29" ht="23.25" x14ac:dyDescent="0.25">
      <c r="A14" s="28" t="s">
        <v>48</v>
      </c>
      <c r="B14" s="28"/>
      <c r="C14" s="129"/>
      <c r="D14" s="129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31"/>
      <c r="AC14"/>
    </row>
    <row r="15" spans="1:29" ht="23.25" x14ac:dyDescent="0.25">
      <c r="A15" s="49" t="s">
        <v>60</v>
      </c>
      <c r="B15" s="49"/>
      <c r="C15" s="130"/>
      <c r="D15" s="131"/>
      <c r="E15" s="132"/>
      <c r="F15" s="132"/>
      <c r="G15" s="132"/>
      <c r="H15" s="132"/>
      <c r="I15" s="132"/>
      <c r="J15" s="50"/>
      <c r="K15" s="50"/>
      <c r="L15" s="50"/>
      <c r="M15" s="50"/>
      <c r="N15" s="51"/>
      <c r="O15" s="21"/>
      <c r="AC15"/>
    </row>
    <row r="16" spans="1:29" ht="21" x14ac:dyDescent="0.25">
      <c r="A16" s="52"/>
      <c r="B16" s="52"/>
      <c r="C16" s="133"/>
      <c r="D16" s="134"/>
      <c r="E16" s="135"/>
      <c r="F16" s="135"/>
      <c r="G16" s="135"/>
      <c r="H16" s="135"/>
      <c r="I16" s="135"/>
      <c r="J16" s="53"/>
      <c r="K16" s="53"/>
      <c r="L16" s="53"/>
      <c r="M16" s="53"/>
      <c r="N16" s="53"/>
      <c r="O16" s="54"/>
      <c r="AC16"/>
    </row>
    <row r="17" spans="1:29" ht="21" x14ac:dyDescent="0.25">
      <c r="A17" s="55" t="s">
        <v>61</v>
      </c>
      <c r="B17" s="55"/>
      <c r="C17" s="39"/>
      <c r="D17" s="136">
        <v>-7226</v>
      </c>
      <c r="E17" s="137"/>
      <c r="F17" s="137"/>
      <c r="G17" s="137"/>
      <c r="H17" s="137"/>
      <c r="I17" s="137"/>
      <c r="J17" s="56"/>
      <c r="K17" s="57"/>
      <c r="L17" s="57"/>
      <c r="M17" s="57"/>
      <c r="N17" s="40">
        <f>SUM(tblРасходы522[[#This Row],[1]:[11]])</f>
        <v>-7226</v>
      </c>
      <c r="O17" s="21"/>
      <c r="AC17"/>
    </row>
    <row r="18" spans="1:29" ht="21" x14ac:dyDescent="0.25">
      <c r="A18" s="55" t="s">
        <v>62</v>
      </c>
      <c r="B18" s="55"/>
      <c r="C18" s="39"/>
      <c r="D18" s="138">
        <v>-3173</v>
      </c>
      <c r="E18" s="139"/>
      <c r="F18" s="139"/>
      <c r="G18" s="139"/>
      <c r="H18" s="139"/>
      <c r="I18" s="139"/>
      <c r="J18" s="56"/>
      <c r="K18" s="57"/>
      <c r="L18" s="57"/>
      <c r="M18" s="57"/>
      <c r="N18" s="40">
        <f>SUM(tblРасходы522[[#This Row],[1]:[11]])</f>
        <v>-3173</v>
      </c>
      <c r="O18" s="21"/>
      <c r="AC18"/>
    </row>
    <row r="19" spans="1:29" ht="67.5" customHeight="1" x14ac:dyDescent="0.25">
      <c r="A19" s="58" t="s">
        <v>63</v>
      </c>
      <c r="B19" s="58"/>
      <c r="C19" s="138"/>
      <c r="D19" s="39"/>
      <c r="E19" s="138">
        <v>-5979</v>
      </c>
      <c r="F19" s="139"/>
      <c r="G19" s="139"/>
      <c r="H19" s="139"/>
      <c r="I19" s="139"/>
      <c r="J19" s="56"/>
      <c r="K19" s="57"/>
      <c r="L19" s="41"/>
      <c r="M19" s="41"/>
      <c r="N19" s="40">
        <f>SUM(tblРасходы522[[#This Row],[1]:[11]])</f>
        <v>-5979</v>
      </c>
      <c r="O19" s="21"/>
      <c r="AC19"/>
    </row>
    <row r="20" spans="1:29" ht="33" customHeight="1" x14ac:dyDescent="0.25">
      <c r="A20" s="58" t="s">
        <v>65</v>
      </c>
      <c r="B20" s="58"/>
      <c r="C20" s="138"/>
      <c r="D20" s="138">
        <v>-1267</v>
      </c>
      <c r="E20" s="138">
        <v>-814</v>
      </c>
      <c r="F20" s="139">
        <v>-367</v>
      </c>
      <c r="G20" s="139">
        <v>-594</v>
      </c>
      <c r="H20" s="139">
        <v>-726</v>
      </c>
      <c r="I20" s="139">
        <v>-945</v>
      </c>
      <c r="J20" s="56">
        <v>-326</v>
      </c>
      <c r="K20" s="57"/>
      <c r="L20" s="140"/>
      <c r="M20" s="140"/>
      <c r="N20" s="40">
        <f>SUM(tblРасходы522[[#This Row],[1]:[11]])</f>
        <v>-5039</v>
      </c>
      <c r="O20" s="21"/>
      <c r="AC20"/>
    </row>
    <row r="21" spans="1:29" ht="52.5" customHeight="1" x14ac:dyDescent="0.25">
      <c r="A21" s="61" t="s">
        <v>67</v>
      </c>
      <c r="B21" s="61"/>
      <c r="C21" s="138">
        <v>-127</v>
      </c>
      <c r="D21" s="138">
        <v>-167</v>
      </c>
      <c r="E21" s="139"/>
      <c r="F21" s="139"/>
      <c r="G21" s="139"/>
      <c r="H21" s="139"/>
      <c r="I21" s="139"/>
      <c r="J21" s="56"/>
      <c r="K21" s="57"/>
      <c r="L21" s="57"/>
      <c r="M21" s="57"/>
      <c r="N21" s="40">
        <f>SUM(tblРасходы522[[#This Row],[1]:[11]])</f>
        <v>-294</v>
      </c>
      <c r="O21" s="21"/>
      <c r="AC21"/>
    </row>
    <row r="22" spans="1:29" ht="105" x14ac:dyDescent="0.25">
      <c r="A22" s="62" t="s">
        <v>68</v>
      </c>
      <c r="B22" s="62"/>
      <c r="C22" s="138">
        <v>-416</v>
      </c>
      <c r="D22" s="138">
        <v>-244</v>
      </c>
      <c r="E22" s="139">
        <v>-462</v>
      </c>
      <c r="F22" s="139"/>
      <c r="G22" s="139"/>
      <c r="H22" s="139"/>
      <c r="I22" s="139">
        <v>-182</v>
      </c>
      <c r="J22" s="56">
        <v>-126</v>
      </c>
      <c r="K22" s="57">
        <v>-288</v>
      </c>
      <c r="L22" s="57"/>
      <c r="M22" s="57"/>
      <c r="N22" s="40">
        <f>SUM(tblРасходы522[[#This Row],[1]:[11]])</f>
        <v>-1718</v>
      </c>
      <c r="O22" s="21"/>
      <c r="AC22"/>
    </row>
    <row r="23" spans="1:29" ht="63" x14ac:dyDescent="0.25">
      <c r="A23" s="62" t="s">
        <v>69</v>
      </c>
      <c r="B23" s="62"/>
      <c r="C23" s="138"/>
      <c r="D23" s="138"/>
      <c r="E23" s="139">
        <v>-854</v>
      </c>
      <c r="F23" s="139"/>
      <c r="G23" s="139"/>
      <c r="I23" s="139">
        <v>-506</v>
      </c>
      <c r="J23" s="141">
        <v>-2040</v>
      </c>
      <c r="K23" s="57">
        <v>-381</v>
      </c>
      <c r="L23" s="57"/>
      <c r="M23" s="57"/>
      <c r="N23" s="40">
        <f>SUM(tblРасходы522[[#This Row],[1]:[11]])</f>
        <v>-3781</v>
      </c>
      <c r="O23" s="21"/>
      <c r="AC23"/>
    </row>
    <row r="24" spans="1:29" ht="42" x14ac:dyDescent="0.25">
      <c r="A24" s="62" t="s">
        <v>70</v>
      </c>
      <c r="B24" s="62"/>
      <c r="C24" s="138">
        <v>-260</v>
      </c>
      <c r="D24" s="138">
        <v>-87</v>
      </c>
      <c r="E24" s="139"/>
      <c r="F24" s="139"/>
      <c r="G24" s="139"/>
      <c r="H24" s="139"/>
      <c r="I24" s="139"/>
      <c r="J24" s="56"/>
      <c r="K24" s="57"/>
      <c r="L24" s="57"/>
      <c r="M24" s="57">
        <v>-152</v>
      </c>
      <c r="N24" s="40">
        <f>SUM(tblРасходы522[[#This Row],[1]:[11]])</f>
        <v>-499</v>
      </c>
      <c r="O24" s="63" t="s">
        <v>71</v>
      </c>
      <c r="AC24"/>
    </row>
    <row r="25" spans="1:29" ht="21" x14ac:dyDescent="0.25">
      <c r="A25" s="62"/>
      <c r="B25" s="62"/>
      <c r="C25" s="142"/>
      <c r="D25" s="138"/>
      <c r="E25" s="139"/>
      <c r="F25" s="139"/>
      <c r="G25" s="139"/>
      <c r="H25" s="139"/>
      <c r="I25" s="139"/>
      <c r="J25" s="56"/>
      <c r="K25" s="57"/>
      <c r="L25" s="57"/>
      <c r="M25" s="57"/>
      <c r="N25" s="40">
        <f>SUM(tblРасходы522[[#This Row],[1]:[11]])</f>
        <v>0</v>
      </c>
      <c r="O25" s="21"/>
      <c r="AC25"/>
    </row>
    <row r="26" spans="1:29" ht="21" x14ac:dyDescent="0.25">
      <c r="A26" s="62"/>
      <c r="B26" s="62"/>
      <c r="C26" s="142"/>
      <c r="D26" s="138"/>
      <c r="E26" s="139"/>
      <c r="F26" s="139"/>
      <c r="G26" s="139"/>
      <c r="H26" s="139"/>
      <c r="I26" s="139"/>
      <c r="J26" s="56"/>
      <c r="K26" s="57"/>
      <c r="L26" s="57"/>
      <c r="M26" s="57"/>
      <c r="N26" s="40">
        <f>SUM(tblРасходы522[[#This Row],[1]:[11]])</f>
        <v>0</v>
      </c>
      <c r="O26" s="21"/>
      <c r="AC26"/>
    </row>
    <row r="27" spans="1:29" ht="21" x14ac:dyDescent="0.25">
      <c r="A27" s="62"/>
      <c r="B27" s="62"/>
      <c r="C27" s="142"/>
      <c r="D27" s="138"/>
      <c r="E27" s="139"/>
      <c r="F27" s="139"/>
      <c r="G27" s="139"/>
      <c r="H27" s="139"/>
      <c r="I27" s="139"/>
      <c r="J27" s="56"/>
      <c r="K27" s="57"/>
      <c r="L27" s="57"/>
      <c r="M27" s="57"/>
      <c r="N27" s="40">
        <f>SUM(tblРасходы522[[#This Row],[1]:[11]])</f>
        <v>0</v>
      </c>
      <c r="O27" s="21"/>
      <c r="AC27"/>
    </row>
    <row r="28" spans="1:29" ht="21" x14ac:dyDescent="0.25">
      <c r="A28" s="62"/>
      <c r="B28" s="62"/>
      <c r="C28" s="142"/>
      <c r="D28" s="138"/>
      <c r="E28" s="139"/>
      <c r="F28" s="139"/>
      <c r="G28" s="139"/>
      <c r="H28" s="139"/>
      <c r="I28" s="139"/>
      <c r="J28" s="56"/>
      <c r="K28" s="57"/>
      <c r="L28" s="57"/>
      <c r="M28" s="57"/>
      <c r="N28" s="40">
        <f>SUM(tblРасходы522[[#This Row],[1]:[11]])</f>
        <v>0</v>
      </c>
      <c r="O28" s="21"/>
      <c r="AC28"/>
    </row>
    <row r="29" spans="1:29" ht="21" x14ac:dyDescent="0.25">
      <c r="A29" s="62"/>
      <c r="B29" s="62"/>
      <c r="C29" s="142"/>
      <c r="D29" s="138"/>
      <c r="E29" s="139"/>
      <c r="F29" s="139"/>
      <c r="G29" s="139"/>
      <c r="H29" s="139"/>
      <c r="I29" s="139"/>
      <c r="J29" s="56"/>
      <c r="K29" s="57"/>
      <c r="L29" s="57"/>
      <c r="M29" s="57"/>
      <c r="N29" s="40">
        <f>SUM(tblРасходы522[[#This Row],[1]:[11]])</f>
        <v>0</v>
      </c>
      <c r="O29" s="21"/>
      <c r="AC29"/>
    </row>
    <row r="30" spans="1:29" ht="21" x14ac:dyDescent="0.25">
      <c r="A30" s="62"/>
      <c r="B30" s="62"/>
      <c r="C30" s="142"/>
      <c r="D30" s="138"/>
      <c r="E30" s="139"/>
      <c r="F30" s="139"/>
      <c r="G30" s="139"/>
      <c r="H30" s="139"/>
      <c r="I30" s="139"/>
      <c r="J30" s="56"/>
      <c r="K30" s="57"/>
      <c r="L30" s="57"/>
      <c r="M30" s="57"/>
      <c r="N30" s="57"/>
      <c r="O30" s="54"/>
      <c r="AC30"/>
    </row>
    <row r="31" spans="1:29" ht="21" x14ac:dyDescent="0.25">
      <c r="A31" s="64"/>
      <c r="B31" s="64"/>
      <c r="C31" s="143"/>
      <c r="D31" s="144"/>
      <c r="E31" s="145"/>
      <c r="F31" s="145"/>
      <c r="G31" s="145"/>
      <c r="H31" s="145"/>
      <c r="I31" s="145"/>
      <c r="J31" s="65"/>
      <c r="K31" s="65"/>
      <c r="L31" s="65"/>
      <c r="M31" s="65"/>
      <c r="N31" s="66"/>
      <c r="O31" s="67"/>
      <c r="AC31"/>
    </row>
    <row r="32" spans="1:29" ht="21" x14ac:dyDescent="0.25">
      <c r="A32" s="58"/>
      <c r="B32" s="58"/>
      <c r="C32" s="146"/>
      <c r="D32" s="147"/>
      <c r="E32" s="141"/>
      <c r="F32" s="141"/>
      <c r="G32" s="141"/>
      <c r="H32" s="141"/>
      <c r="I32" s="141"/>
      <c r="J32" s="56"/>
      <c r="K32" s="56"/>
      <c r="L32" s="56"/>
      <c r="M32" s="56"/>
      <c r="N32" s="57"/>
      <c r="O32" s="21"/>
      <c r="AC32"/>
    </row>
    <row r="33" spans="1:29" ht="26.25" x14ac:dyDescent="0.25">
      <c r="A33" s="68" t="s">
        <v>72</v>
      </c>
      <c r="B33" s="68"/>
      <c r="C33" s="146"/>
      <c r="D33" s="147"/>
      <c r="E33" s="141"/>
      <c r="F33" s="141"/>
      <c r="G33" s="141"/>
      <c r="H33" s="141"/>
      <c r="I33" s="141"/>
      <c r="J33" s="56"/>
      <c r="K33" s="56"/>
      <c r="L33" s="56"/>
      <c r="M33" s="56"/>
      <c r="N33" s="57"/>
      <c r="O33" s="69" t="s">
        <v>73</v>
      </c>
      <c r="AC33"/>
    </row>
    <row r="34" spans="1:29" ht="21" x14ac:dyDescent="0.25">
      <c r="A34" s="55"/>
      <c r="B34" s="55"/>
      <c r="C34" s="138"/>
      <c r="D34" s="138"/>
      <c r="E34" s="139"/>
      <c r="F34" s="139"/>
      <c r="G34" s="139"/>
      <c r="H34" s="139"/>
      <c r="I34" s="139"/>
      <c r="J34" s="56"/>
      <c r="K34" s="57"/>
      <c r="L34" s="57"/>
      <c r="M34" s="57"/>
      <c r="N34" s="57"/>
      <c r="O34" s="21"/>
      <c r="AC34"/>
    </row>
    <row r="35" spans="1:29" ht="63" x14ac:dyDescent="0.25">
      <c r="A35" s="70" t="s">
        <v>74</v>
      </c>
      <c r="B35" s="70"/>
      <c r="C35" s="138"/>
      <c r="D35" s="147">
        <v>-136</v>
      </c>
      <c r="E35" s="141"/>
      <c r="F35" s="141"/>
      <c r="G35" s="141"/>
      <c r="H35" s="141"/>
      <c r="I35" s="141"/>
      <c r="J35" s="56"/>
      <c r="K35" s="60"/>
      <c r="L35" s="56"/>
      <c r="M35" s="56"/>
      <c r="N35" s="40">
        <f>SUM(tblРасходы522[[#This Row],[1]:[11]])</f>
        <v>-136</v>
      </c>
      <c r="O35" s="21"/>
      <c r="AC35"/>
    </row>
    <row r="36" spans="1:29" ht="42" x14ac:dyDescent="0.25">
      <c r="A36" s="70" t="s">
        <v>75</v>
      </c>
      <c r="B36" s="70"/>
      <c r="C36" s="138"/>
      <c r="D36" s="147"/>
      <c r="E36" s="141"/>
      <c r="F36" s="141"/>
      <c r="G36" s="141"/>
      <c r="H36" s="141"/>
      <c r="I36" s="141"/>
      <c r="J36" s="56"/>
      <c r="K36" s="46"/>
      <c r="L36" s="41"/>
      <c r="M36" s="41"/>
      <c r="N36" s="40">
        <f>SUM(tblРасходы522[[#This Row],[1]:[11]])</f>
        <v>0</v>
      </c>
      <c r="O36" s="21"/>
      <c r="AC36"/>
    </row>
    <row r="37" spans="1:29" ht="84" x14ac:dyDescent="0.25">
      <c r="A37" s="70" t="s">
        <v>76</v>
      </c>
      <c r="B37" s="70"/>
      <c r="C37" s="138"/>
      <c r="D37" s="147"/>
      <c r="E37" s="141"/>
      <c r="F37" s="141">
        <v>-381</v>
      </c>
      <c r="G37" s="141">
        <v>-866</v>
      </c>
      <c r="H37" s="141">
        <v>-812</v>
      </c>
      <c r="I37" s="141">
        <v>-634</v>
      </c>
      <c r="J37" s="56">
        <v>-537</v>
      </c>
      <c r="K37" s="56">
        <v>-589</v>
      </c>
      <c r="L37" s="56">
        <v>-385</v>
      </c>
      <c r="M37" s="56"/>
      <c r="N37" s="40">
        <f>SUM(tblРасходы522[[#This Row],[1]:[11]])</f>
        <v>-4204</v>
      </c>
      <c r="O37" s="21"/>
      <c r="AC37"/>
    </row>
    <row r="38" spans="1:29" ht="42" x14ac:dyDescent="0.25">
      <c r="A38" s="70" t="s">
        <v>78</v>
      </c>
      <c r="B38" s="70"/>
      <c r="C38" s="138"/>
      <c r="D38" s="147"/>
      <c r="E38" s="141"/>
      <c r="F38" s="141"/>
      <c r="G38" s="141"/>
      <c r="H38" s="141"/>
      <c r="I38" s="141"/>
      <c r="J38" s="56"/>
      <c r="K38" s="56"/>
      <c r="L38" s="56"/>
      <c r="M38" s="56"/>
      <c r="N38" s="40">
        <f>SUM(tblРасходы522[[#This Row],[1]:[11]])</f>
        <v>0</v>
      </c>
      <c r="O38" s="21"/>
      <c r="AC38"/>
    </row>
    <row r="39" spans="1:29" ht="21" x14ac:dyDescent="0.25">
      <c r="A39" s="70" t="s">
        <v>79</v>
      </c>
      <c r="B39" s="70"/>
      <c r="C39" s="138"/>
      <c r="D39" s="138"/>
      <c r="E39" s="139"/>
      <c r="F39" s="139"/>
      <c r="G39" s="139"/>
      <c r="H39" s="139"/>
      <c r="I39" s="139"/>
      <c r="J39" s="56"/>
      <c r="K39" s="57"/>
      <c r="L39" s="57"/>
      <c r="M39" s="57"/>
      <c r="N39" s="40">
        <f>SUM(tblРасходы522[[#This Row],[1]:[11]])</f>
        <v>0</v>
      </c>
      <c r="O39" s="21"/>
      <c r="AC39"/>
    </row>
    <row r="40" spans="1:29" ht="21" x14ac:dyDescent="0.25">
      <c r="A40" s="70" t="s">
        <v>140</v>
      </c>
      <c r="B40" s="70"/>
      <c r="C40" s="138"/>
      <c r="D40" s="147"/>
      <c r="E40" s="141"/>
      <c r="F40" s="141"/>
      <c r="G40" s="141"/>
      <c r="H40" s="141"/>
      <c r="I40" s="141"/>
      <c r="J40" s="56"/>
      <c r="K40" s="56">
        <v>-421</v>
      </c>
      <c r="L40" s="41"/>
      <c r="M40" s="56"/>
      <c r="N40" s="40">
        <f>SUM(tblРасходы522[[#This Row],[1]:[11]])</f>
        <v>-421</v>
      </c>
      <c r="O40" s="21"/>
      <c r="AC40"/>
    </row>
    <row r="41" spans="1:29" ht="21" x14ac:dyDescent="0.25">
      <c r="A41" s="70" t="s">
        <v>141</v>
      </c>
      <c r="B41" s="99"/>
      <c r="C41" s="142"/>
      <c r="D41" s="147"/>
      <c r="E41" s="141"/>
      <c r="F41" s="141"/>
      <c r="G41" s="141"/>
      <c r="H41" s="141"/>
      <c r="I41" s="141"/>
      <c r="J41" s="56"/>
      <c r="K41" s="100"/>
      <c r="L41" s="148"/>
      <c r="M41" s="100"/>
      <c r="N41" s="40">
        <f>SUM(tblРасходы522[[#This Row],[1]:[11]])</f>
        <v>0</v>
      </c>
      <c r="O41" s="21"/>
      <c r="AC41"/>
    </row>
    <row r="42" spans="1:29" ht="21" x14ac:dyDescent="0.25">
      <c r="A42" s="70" t="s">
        <v>80</v>
      </c>
      <c r="B42" s="70"/>
      <c r="C42" s="142"/>
      <c r="D42" s="147"/>
      <c r="E42" s="141">
        <v>-956</v>
      </c>
      <c r="F42" s="141">
        <v>-2351</v>
      </c>
      <c r="G42" s="141">
        <v>-3153</v>
      </c>
      <c r="H42" s="141">
        <v>-2022</v>
      </c>
      <c r="I42" s="141">
        <v>-728</v>
      </c>
      <c r="J42" s="56">
        <v>-1100</v>
      </c>
      <c r="K42" s="56">
        <v>0</v>
      </c>
      <c r="L42" s="56"/>
      <c r="M42" s="56"/>
      <c r="N42" s="40">
        <f>SUM(tblРасходы522[[#This Row],[1]:[11]])</f>
        <v>-10310</v>
      </c>
      <c r="O42" s="21"/>
      <c r="AC42"/>
    </row>
    <row r="43" spans="1:29" ht="42" x14ac:dyDescent="0.25">
      <c r="A43" s="70" t="s">
        <v>81</v>
      </c>
      <c r="B43" s="70"/>
      <c r="C43" s="142"/>
      <c r="D43" s="147"/>
      <c r="E43" s="141">
        <v>-224</v>
      </c>
      <c r="F43" s="141">
        <v>-397</v>
      </c>
      <c r="G43" s="141">
        <v>-886</v>
      </c>
      <c r="H43" s="141">
        <v>-415</v>
      </c>
      <c r="I43" s="141">
        <v>-621</v>
      </c>
      <c r="J43" s="56">
        <v>-844</v>
      </c>
      <c r="K43" s="56">
        <v>0</v>
      </c>
      <c r="L43" s="56"/>
      <c r="M43" s="56"/>
      <c r="N43" s="40">
        <f>SUM(tblРасходы522[[#This Row],[1]:[11]])</f>
        <v>-3387</v>
      </c>
      <c r="O43" s="21"/>
      <c r="AC43"/>
    </row>
    <row r="44" spans="1:29" ht="42" x14ac:dyDescent="0.25">
      <c r="A44" s="70" t="s">
        <v>82</v>
      </c>
      <c r="B44" s="70"/>
      <c r="C44" s="142"/>
      <c r="D44" s="147"/>
      <c r="E44" s="141">
        <v>-281</v>
      </c>
      <c r="F44" s="141">
        <v>-485</v>
      </c>
      <c r="G44" s="141">
        <v>-563</v>
      </c>
      <c r="H44" s="141">
        <v>-502</v>
      </c>
      <c r="I44" s="141">
        <v>-463</v>
      </c>
      <c r="J44" s="56">
        <v>-395</v>
      </c>
      <c r="K44" s="56">
        <v>-280</v>
      </c>
      <c r="L44" s="56"/>
      <c r="M44" s="56"/>
      <c r="N44" s="40">
        <f>SUM(tblРасходы522[[#This Row],[1]:[11]])</f>
        <v>-2969</v>
      </c>
      <c r="O44" s="21"/>
      <c r="AC44"/>
    </row>
    <row r="45" spans="1:29" ht="21" x14ac:dyDescent="0.25">
      <c r="A45" s="70"/>
      <c r="B45" s="70"/>
      <c r="C45" s="142"/>
      <c r="D45" s="147"/>
      <c r="E45" s="141"/>
      <c r="F45" s="141"/>
      <c r="G45" s="141"/>
      <c r="H45" s="141"/>
      <c r="I45" s="141"/>
      <c r="J45" s="56"/>
      <c r="K45" s="56"/>
      <c r="L45" s="56"/>
      <c r="M45" s="56"/>
      <c r="N45" s="72"/>
      <c r="O45" s="21"/>
      <c r="AC45"/>
    </row>
    <row r="46" spans="1:29" ht="21" x14ac:dyDescent="0.25">
      <c r="A46" s="73"/>
      <c r="B46" s="73"/>
      <c r="C46" s="146"/>
      <c r="D46" s="147"/>
      <c r="E46" s="141"/>
      <c r="F46" s="141"/>
      <c r="G46" s="141"/>
      <c r="H46" s="141"/>
      <c r="I46" s="141"/>
      <c r="J46" s="56"/>
      <c r="K46" s="56"/>
      <c r="L46" s="56"/>
      <c r="M46" s="56"/>
      <c r="N46" s="57"/>
      <c r="O46" s="21"/>
      <c r="AC46"/>
    </row>
    <row r="47" spans="1:29" ht="21" x14ac:dyDescent="0.25">
      <c r="A47" s="64"/>
      <c r="B47" s="64"/>
      <c r="C47" s="143"/>
      <c r="D47" s="144"/>
      <c r="E47" s="145"/>
      <c r="F47" s="145"/>
      <c r="G47" s="145"/>
      <c r="H47" s="145"/>
      <c r="I47" s="145"/>
      <c r="J47" s="65"/>
      <c r="K47" s="65"/>
      <c r="L47" s="65"/>
      <c r="M47" s="65"/>
      <c r="N47" s="66"/>
      <c r="O47" s="67"/>
      <c r="AC47"/>
    </row>
    <row r="48" spans="1:29" ht="21" x14ac:dyDescent="0.25">
      <c r="A48" s="71"/>
      <c r="B48" s="71"/>
      <c r="C48" s="142"/>
      <c r="D48" s="138"/>
      <c r="E48" s="139"/>
      <c r="F48" s="139"/>
      <c r="G48" s="139"/>
      <c r="H48" s="139"/>
      <c r="I48" s="139"/>
      <c r="J48" s="56"/>
      <c r="K48" s="57"/>
      <c r="L48" s="57"/>
      <c r="M48" s="57"/>
      <c r="N48" s="57"/>
      <c r="O48" s="21"/>
      <c r="AC48"/>
    </row>
    <row r="49" spans="1:29" ht="23.25" x14ac:dyDescent="0.25">
      <c r="A49" s="68" t="s">
        <v>83</v>
      </c>
      <c r="B49" s="68"/>
      <c r="C49" s="146"/>
      <c r="D49" s="147"/>
      <c r="E49" s="141"/>
      <c r="F49" s="141"/>
      <c r="G49" s="141"/>
      <c r="H49" s="141"/>
      <c r="I49" s="141"/>
      <c r="J49" s="56"/>
      <c r="K49" s="56"/>
      <c r="L49" s="56"/>
      <c r="M49" s="56"/>
      <c r="N49" s="57"/>
      <c r="O49" s="21"/>
      <c r="AC49"/>
    </row>
    <row r="50" spans="1:29" ht="21" x14ac:dyDescent="0.25">
      <c r="A50" s="62"/>
      <c r="B50" s="62"/>
      <c r="C50" s="146"/>
      <c r="D50" s="147"/>
      <c r="E50" s="141"/>
      <c r="F50" s="141"/>
      <c r="G50" s="141"/>
      <c r="H50" s="141"/>
      <c r="I50" s="141"/>
      <c r="J50" s="56"/>
      <c r="K50" s="56"/>
      <c r="L50" s="56"/>
      <c r="M50" s="56"/>
      <c r="N50" s="57"/>
      <c r="O50" s="54"/>
      <c r="AC50"/>
    </row>
    <row r="51" spans="1:29" ht="42" x14ac:dyDescent="0.25">
      <c r="A51" s="74" t="s">
        <v>84</v>
      </c>
      <c r="B51" s="74"/>
      <c r="C51" s="138"/>
      <c r="D51" s="138"/>
      <c r="E51" s="139"/>
      <c r="F51" s="139"/>
      <c r="G51" s="139"/>
      <c r="H51" s="139"/>
      <c r="I51" s="139"/>
      <c r="J51" s="56"/>
      <c r="K51" s="57"/>
      <c r="L51" s="57"/>
      <c r="M51" s="57"/>
      <c r="N51" s="40">
        <f>SUM(tblРасходы522[[#This Row],[1]:[11]])</f>
        <v>0</v>
      </c>
      <c r="O51" s="21"/>
      <c r="AC51"/>
    </row>
    <row r="52" spans="1:29" ht="42" x14ac:dyDescent="0.25">
      <c r="A52" s="75" t="s">
        <v>85</v>
      </c>
      <c r="B52" s="75"/>
      <c r="C52" s="138"/>
      <c r="D52" s="138"/>
      <c r="E52" s="139"/>
      <c r="F52" s="139"/>
      <c r="G52" s="139"/>
      <c r="H52" s="139"/>
      <c r="I52" s="139"/>
      <c r="J52" s="56"/>
      <c r="K52" s="57"/>
      <c r="L52" s="57"/>
      <c r="M52" s="57"/>
      <c r="N52" s="40">
        <f>SUM(tblРасходы522[[#This Row],[1]:[11]])</f>
        <v>0</v>
      </c>
      <c r="O52" s="21"/>
      <c r="AC52"/>
    </row>
    <row r="53" spans="1:29" ht="42" x14ac:dyDescent="0.25">
      <c r="A53" s="76" t="s">
        <v>86</v>
      </c>
      <c r="B53" s="76"/>
      <c r="C53" s="138"/>
      <c r="D53" s="138"/>
      <c r="E53" s="139"/>
      <c r="F53" s="139"/>
      <c r="G53" s="139"/>
      <c r="H53" s="139"/>
      <c r="I53" s="139"/>
      <c r="J53" s="56"/>
      <c r="K53" s="57"/>
      <c r="L53" s="57"/>
      <c r="M53" s="57"/>
      <c r="N53" s="40">
        <f>SUM(tblРасходы522[[#This Row],[1]:[11]])</f>
        <v>0</v>
      </c>
      <c r="O53" s="21"/>
      <c r="AC53"/>
    </row>
    <row r="54" spans="1:29" ht="42" x14ac:dyDescent="0.25">
      <c r="A54" s="76" t="s">
        <v>142</v>
      </c>
      <c r="B54" s="76"/>
      <c r="C54" s="138"/>
      <c r="D54" s="138"/>
      <c r="E54" s="139"/>
      <c r="F54" s="139"/>
      <c r="G54" s="139"/>
      <c r="H54" s="139"/>
      <c r="I54" s="139"/>
      <c r="J54" s="56">
        <v>-1247</v>
      </c>
      <c r="K54" s="56">
        <v>-7455</v>
      </c>
      <c r="L54" s="57">
        <v>-4602</v>
      </c>
      <c r="M54" s="57"/>
      <c r="N54" s="40">
        <f>SUM(tblРасходы522[[#This Row],[1]:[11]])</f>
        <v>-13304</v>
      </c>
      <c r="O54" s="21"/>
      <c r="AC54"/>
    </row>
    <row r="55" spans="1:29" ht="42" x14ac:dyDescent="0.25">
      <c r="A55" s="76" t="s">
        <v>87</v>
      </c>
      <c r="B55" s="76"/>
      <c r="C55" s="142"/>
      <c r="D55" s="138"/>
      <c r="E55" s="139"/>
      <c r="F55" s="139"/>
      <c r="G55" s="139"/>
      <c r="H55" s="139">
        <v>-165</v>
      </c>
      <c r="I55" s="139">
        <v>-211</v>
      </c>
      <c r="J55" s="56"/>
      <c r="K55" s="57"/>
      <c r="L55" s="57"/>
      <c r="M55" s="57"/>
      <c r="N55" s="40">
        <f>SUM(tblРасходы522[[#This Row],[1]:[11]])</f>
        <v>-376</v>
      </c>
      <c r="O55" s="21"/>
      <c r="AC55"/>
    </row>
    <row r="56" spans="1:29" ht="21" x14ac:dyDescent="0.25">
      <c r="A56" s="62"/>
      <c r="B56" s="62"/>
      <c r="C56" s="146"/>
      <c r="D56" s="147"/>
      <c r="E56" s="141"/>
      <c r="F56" s="141"/>
      <c r="G56" s="141"/>
      <c r="H56" s="141"/>
      <c r="I56" s="141"/>
      <c r="J56" s="56"/>
      <c r="K56" s="56"/>
      <c r="L56" s="56"/>
      <c r="M56" s="56"/>
      <c r="N56" s="57"/>
      <c r="O56" s="21"/>
      <c r="AC56"/>
    </row>
    <row r="57" spans="1:29" ht="21" x14ac:dyDescent="0.25">
      <c r="A57" s="64"/>
      <c r="B57" s="64"/>
      <c r="C57" s="143"/>
      <c r="D57" s="144"/>
      <c r="E57" s="145"/>
      <c r="F57" s="145"/>
      <c r="G57" s="145"/>
      <c r="H57" s="145"/>
      <c r="I57" s="145"/>
      <c r="J57" s="65"/>
      <c r="K57" s="65"/>
      <c r="L57" s="65"/>
      <c r="M57" s="65"/>
      <c r="N57" s="66"/>
      <c r="O57" s="67"/>
      <c r="AC57"/>
    </row>
    <row r="58" spans="1:29" ht="21" x14ac:dyDescent="0.25">
      <c r="A58" s="62"/>
      <c r="B58" s="62"/>
      <c r="C58" s="146"/>
      <c r="D58" s="147"/>
      <c r="E58" s="141"/>
      <c r="F58" s="141"/>
      <c r="G58" s="141"/>
      <c r="H58" s="141"/>
      <c r="I58" s="141"/>
      <c r="J58" s="56"/>
      <c r="K58" s="56"/>
      <c r="L58" s="56"/>
      <c r="M58" s="56"/>
      <c r="N58" s="57"/>
      <c r="O58" s="21"/>
      <c r="AC58"/>
    </row>
    <row r="59" spans="1:29" ht="23.25" x14ac:dyDescent="0.25">
      <c r="A59" s="68" t="s">
        <v>88</v>
      </c>
      <c r="B59" s="68"/>
      <c r="C59" s="138"/>
      <c r="D59" s="138"/>
      <c r="E59" s="139"/>
      <c r="F59" s="139"/>
      <c r="G59" s="139"/>
      <c r="H59" s="139"/>
      <c r="I59" s="139"/>
      <c r="J59" s="56"/>
      <c r="K59" s="57"/>
      <c r="L59" s="57"/>
      <c r="M59" s="57"/>
      <c r="N59" s="57"/>
      <c r="O59" s="21"/>
      <c r="AC59"/>
    </row>
    <row r="60" spans="1:29" ht="21" x14ac:dyDescent="0.25">
      <c r="A60" s="55" t="s">
        <v>89</v>
      </c>
      <c r="B60" s="77" t="s">
        <v>90</v>
      </c>
      <c r="C60" s="138"/>
      <c r="D60" s="138">
        <v>-555</v>
      </c>
      <c r="E60" s="139">
        <v>-555</v>
      </c>
      <c r="F60" s="139">
        <v>-555</v>
      </c>
      <c r="G60" s="139">
        <v>-602</v>
      </c>
      <c r="H60" s="139">
        <v>-602</v>
      </c>
      <c r="I60" s="139">
        <v>-609</v>
      </c>
      <c r="J60" s="139">
        <v>-609</v>
      </c>
      <c r="K60" s="139">
        <v>-609</v>
      </c>
      <c r="L60" s="139">
        <v>-609</v>
      </c>
      <c r="M60" s="139">
        <v>-609</v>
      </c>
      <c r="N60" s="40">
        <f>SUM(tblРасходы522[[#This Row],[1]:[11]])</f>
        <v>-5914</v>
      </c>
      <c r="O60" s="21"/>
      <c r="AC60"/>
    </row>
    <row r="61" spans="1:29" ht="84" x14ac:dyDescent="0.25">
      <c r="A61" s="55" t="s">
        <v>91</v>
      </c>
      <c r="B61" s="80" t="s">
        <v>143</v>
      </c>
      <c r="C61" s="138">
        <v>-391</v>
      </c>
      <c r="D61" s="138">
        <v>-365</v>
      </c>
      <c r="E61" s="139"/>
      <c r="F61" s="139"/>
      <c r="G61" s="139">
        <v>-307</v>
      </c>
      <c r="H61" s="139"/>
      <c r="I61" s="139"/>
      <c r="J61" s="139"/>
      <c r="K61" s="139"/>
      <c r="L61" s="148"/>
      <c r="M61" s="139">
        <v>-407</v>
      </c>
      <c r="N61" s="40">
        <f>SUM(tblРасходы522[[#This Row],[1]:[11]])</f>
        <v>-1470</v>
      </c>
      <c r="O61" s="21"/>
      <c r="AC61"/>
    </row>
    <row r="62" spans="1:29" ht="42" x14ac:dyDescent="0.25">
      <c r="A62" s="55" t="s">
        <v>92</v>
      </c>
      <c r="B62" s="55" t="s">
        <v>144</v>
      </c>
      <c r="C62" s="138">
        <v>-1260</v>
      </c>
      <c r="D62" s="138">
        <v>-278</v>
      </c>
      <c r="E62" s="139"/>
      <c r="F62" s="139"/>
      <c r="G62" s="139"/>
      <c r="H62" s="139"/>
      <c r="I62" s="139"/>
      <c r="J62" s="56">
        <v>-532</v>
      </c>
      <c r="K62" s="57"/>
      <c r="L62" s="57"/>
      <c r="M62" s="57"/>
      <c r="N62" s="40">
        <f>SUM(tblРасходы522[[#This Row],[1]:[11]])</f>
        <v>-2070</v>
      </c>
      <c r="O62" s="21"/>
      <c r="AC62"/>
    </row>
    <row r="63" spans="1:29" ht="42" x14ac:dyDescent="0.25">
      <c r="A63" s="55" t="s">
        <v>145</v>
      </c>
      <c r="B63" s="55"/>
      <c r="C63" s="149"/>
      <c r="D63" s="149"/>
      <c r="E63" s="150">
        <v>-68</v>
      </c>
      <c r="F63" s="150">
        <v>-157</v>
      </c>
      <c r="G63" s="150">
        <v>-340</v>
      </c>
      <c r="H63" s="150">
        <v>-340</v>
      </c>
      <c r="I63" s="150">
        <v>-340</v>
      </c>
      <c r="J63" s="56">
        <v>-278</v>
      </c>
      <c r="K63" s="56">
        <v>-278</v>
      </c>
      <c r="L63" s="56">
        <v>-278</v>
      </c>
      <c r="M63" s="56">
        <v>-105</v>
      </c>
      <c r="N63" s="40">
        <f>SUM(tblРасходы522[[#This Row],[1]:[11]])</f>
        <v>-2184</v>
      </c>
      <c r="O63" s="21"/>
      <c r="AC63"/>
    </row>
    <row r="64" spans="1:29" ht="126" x14ac:dyDescent="0.25">
      <c r="A64" s="77" t="s">
        <v>146</v>
      </c>
      <c r="B64" s="77" t="s">
        <v>147</v>
      </c>
      <c r="C64" s="149">
        <v>-3515</v>
      </c>
      <c r="D64" s="149">
        <v>-3125</v>
      </c>
      <c r="E64" s="149">
        <v>-2666</v>
      </c>
      <c r="F64" s="149">
        <v>-2666</v>
      </c>
      <c r="G64" s="149">
        <v>-2892</v>
      </c>
      <c r="H64" s="149">
        <v>-2892</v>
      </c>
      <c r="I64" s="149">
        <v>-3181</v>
      </c>
      <c r="J64" s="149">
        <v>-3181</v>
      </c>
      <c r="K64" s="149">
        <v>-2892</v>
      </c>
      <c r="L64" s="149">
        <v>-2892</v>
      </c>
      <c r="M64" s="149">
        <v>-2892</v>
      </c>
      <c r="N64" s="40">
        <f>SUM(tblРасходы522[[#This Row],[1]:[11]])</f>
        <v>-32794</v>
      </c>
      <c r="O64" s="82" t="s">
        <v>50</v>
      </c>
      <c r="AC64"/>
    </row>
    <row r="65" spans="1:29" ht="42" x14ac:dyDescent="0.25">
      <c r="A65" s="77" t="s">
        <v>93</v>
      </c>
      <c r="B65" s="83" t="s">
        <v>148</v>
      </c>
      <c r="C65" s="57"/>
      <c r="D65" s="57"/>
      <c r="E65" s="57"/>
      <c r="F65" s="57"/>
      <c r="G65" s="57"/>
      <c r="H65" s="57"/>
      <c r="I65" s="57">
        <v>-6676</v>
      </c>
      <c r="J65" s="56">
        <v>-7315</v>
      </c>
      <c r="K65" s="57"/>
      <c r="L65" s="57"/>
      <c r="M65" s="57">
        <v>-5780</v>
      </c>
      <c r="N65" s="40">
        <f>SUM(tblРасходы522[[#This Row],[1]:[11]])</f>
        <v>-19771</v>
      </c>
      <c r="O65" s="57"/>
      <c r="AC65"/>
    </row>
    <row r="66" spans="1:29" ht="21" x14ac:dyDescent="0.25">
      <c r="C66" s="39"/>
      <c r="D66" s="39"/>
      <c r="E66" s="39"/>
      <c r="F66" s="39"/>
      <c r="G66" s="39"/>
      <c r="H66" s="39"/>
      <c r="I66" s="39"/>
      <c r="J66" s="151"/>
      <c r="K66" s="39"/>
      <c r="L66" s="152"/>
      <c r="M66" s="152"/>
      <c r="N66" s="57"/>
      <c r="O66" s="84"/>
      <c r="AC66"/>
    </row>
    <row r="67" spans="1:29" ht="23.25" x14ac:dyDescent="0.25">
      <c r="A67" s="153" t="s">
        <v>94</v>
      </c>
      <c r="B67" s="153"/>
      <c r="C67" s="154">
        <f>SUBTOTAL(109,tblРасходы522[1])</f>
        <v>133</v>
      </c>
      <c r="D67" s="154">
        <f>SUBTOTAL(109,tblРасходы522[2])</f>
        <v>9897</v>
      </c>
      <c r="E67" s="154">
        <f>SUBTOTAL(109,tblРасходы522[3])</f>
        <v>4821</v>
      </c>
      <c r="F67" s="154">
        <f>SUBTOTAL(109,tblРасходы522[4])</f>
        <v>-7359</v>
      </c>
      <c r="G67" s="154">
        <f>SUBTOTAL(109,tblРасходы522[5])</f>
        <v>-3032.3100000000004</v>
      </c>
      <c r="H67" s="154">
        <f>SUBTOTAL(109,tblРасходы522[6])</f>
        <v>19126.71</v>
      </c>
      <c r="I67" s="154">
        <f>SUBTOTAL(109,tblРасходы522[7])</f>
        <v>2290.7000000000007</v>
      </c>
      <c r="J67" s="155">
        <f>SUBTOTAL(109,tblРасходы522[8])</f>
        <v>-9836.65</v>
      </c>
      <c r="K67" s="155">
        <f>SUBTOTAL(109,tblРасходы522[9])</f>
        <v>-13193</v>
      </c>
      <c r="L67" s="155">
        <f>SUBTOTAL(109,tblРасходы522[10])</f>
        <v>8620.7000000000007</v>
      </c>
      <c r="M67" s="155">
        <f>SUBTOTAL(109,tblРасходы522[11])</f>
        <v>-9945</v>
      </c>
      <c r="N67" s="154">
        <f>SUBTOTAL(109,tblРасходы522[TOTAL])</f>
        <v>1523.1499999999942</v>
      </c>
      <c r="O67" s="156"/>
      <c r="AC67"/>
    </row>
    <row r="68" spans="1:29" x14ac:dyDescent="0.25">
      <c r="J68" s="157"/>
      <c r="L68" s="157"/>
      <c r="M68" s="157"/>
      <c r="AB68" t="s">
        <v>50</v>
      </c>
    </row>
    <row r="69" spans="1:29" ht="21" x14ac:dyDescent="0.35">
      <c r="A69" s="158" t="s">
        <v>49</v>
      </c>
      <c r="B69" s="158"/>
      <c r="C69" s="159">
        <v>0</v>
      </c>
      <c r="D69" s="159">
        <f>tblРасходы522[[#Totals],[1]]+tblРасходы522[[#Totals],[2]]</f>
        <v>10030</v>
      </c>
      <c r="E69" s="159">
        <f>D69+tblРасходы522[[#Totals],[3]]</f>
        <v>14851</v>
      </c>
      <c r="F69" s="159">
        <f>E69+tblРасходы522[[#Totals],[4]]</f>
        <v>7492</v>
      </c>
      <c r="G69" s="159">
        <f>F69+tblРасходы522[[#Totals],[5]]</f>
        <v>4459.6899999999996</v>
      </c>
      <c r="H69" s="159">
        <f>G69+tblРасходы522[[#Totals],[6]]</f>
        <v>23586.399999999998</v>
      </c>
      <c r="I69" s="159">
        <f>H69+tblРасходы522[[#Totals],[7]]</f>
        <v>25877.1</v>
      </c>
      <c r="J69" s="160">
        <f>I69+tblРасходы522[[#Totals],[8]]</f>
        <v>16040.449999999999</v>
      </c>
      <c r="K69" s="160">
        <f>J69+tblРасходы522[[#Totals],[9]]</f>
        <v>2847.4499999999989</v>
      </c>
      <c r="L69" s="160">
        <f>K69+tblРасходы522[[#Totals],[10]]</f>
        <v>11468.15</v>
      </c>
      <c r="M69" s="160">
        <f>L69+tblРасходы522[[#Totals],[11]]</f>
        <v>1523.1499999999996</v>
      </c>
      <c r="N69" s="89"/>
    </row>
    <row r="70" spans="1:29" ht="23.25" x14ac:dyDescent="0.35">
      <c r="N70" s="91"/>
      <c r="O70" s="92"/>
    </row>
    <row r="71" spans="1:29" ht="21" x14ac:dyDescent="0.35">
      <c r="K71" s="39"/>
      <c r="M71" s="161"/>
      <c r="N71" s="94"/>
    </row>
    <row r="72" spans="1:29" ht="59.45" customHeight="1" x14ac:dyDescent="0.35">
      <c r="A72" s="95"/>
      <c r="C72" s="162"/>
      <c r="D72" s="163"/>
      <c r="E72" s="163"/>
      <c r="F72" s="163"/>
      <c r="G72" s="164"/>
      <c r="H72" s="164"/>
      <c r="I72" s="164"/>
      <c r="J72" s="164"/>
      <c r="K72" s="164"/>
      <c r="L72" s="164"/>
      <c r="M72" s="165"/>
      <c r="N72" s="92"/>
    </row>
    <row r="73" spans="1:29" ht="27.6" customHeight="1" x14ac:dyDescent="0.25">
      <c r="A73" s="95"/>
    </row>
    <row r="74" spans="1:29" ht="23.25" x14ac:dyDescent="0.35">
      <c r="A74" s="95"/>
      <c r="M74" s="166"/>
    </row>
    <row r="75" spans="1:29" x14ac:dyDescent="0.25">
      <c r="A75" s="95"/>
    </row>
    <row r="76" spans="1:29" x14ac:dyDescent="0.25">
      <c r="A76" s="95"/>
    </row>
    <row r="77" spans="1:29" x14ac:dyDescent="0.25">
      <c r="A77" s="95"/>
    </row>
    <row r="78" spans="1:29" x14ac:dyDescent="0.25">
      <c r="A78" s="95"/>
    </row>
    <row r="79" spans="1:29" x14ac:dyDescent="0.25">
      <c r="A79" s="9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40" zoomScaleNormal="40" workbookViewId="0">
      <selection activeCell="F15" sqref="F15"/>
    </sheetView>
  </sheetViews>
  <sheetFormatPr defaultColWidth="9.140625" defaultRowHeight="15" x14ac:dyDescent="0.25"/>
  <cols>
    <col min="1" max="1" width="54.85546875" style="2" customWidth="1"/>
    <col min="2" max="2" width="31.5703125" style="2" customWidth="1"/>
    <col min="3" max="7" width="24" style="2" customWidth="1"/>
    <col min="8" max="8" width="23.7109375" style="2" customWidth="1"/>
    <col min="9" max="9" width="27.42578125" style="2" customWidth="1"/>
    <col min="10" max="17" width="23.7109375" style="2" customWidth="1"/>
    <col min="18" max="18" width="27.7109375" style="2" customWidth="1"/>
    <col min="19" max="19" width="54.42578125" style="2" customWidth="1"/>
    <col min="20" max="16384" width="9.140625" style="2"/>
  </cols>
  <sheetData>
    <row r="1" spans="1:19" ht="111.75" x14ac:dyDescent="0.35">
      <c r="A1" s="1" t="s">
        <v>149</v>
      </c>
      <c r="C1" s="3" t="s">
        <v>150</v>
      </c>
      <c r="D1" s="3"/>
      <c r="E1" s="3"/>
      <c r="F1" s="3"/>
      <c r="G1" s="3"/>
      <c r="H1"/>
      <c r="I1"/>
      <c r="J1"/>
      <c r="K1"/>
      <c r="L1"/>
      <c r="M1"/>
      <c r="N1"/>
      <c r="O1"/>
      <c r="P1"/>
      <c r="Q1"/>
      <c r="R1"/>
      <c r="S1"/>
    </row>
    <row r="2" spans="1:19" ht="21" x14ac:dyDescent="0.35">
      <c r="A2" s="4" t="s">
        <v>0</v>
      </c>
      <c r="B2" s="4"/>
      <c r="C2" s="167">
        <v>2019</v>
      </c>
      <c r="E2" s="5">
        <v>2020</v>
      </c>
      <c r="F2" s="118"/>
      <c r="G2" s="118"/>
      <c r="I2" s="5"/>
      <c r="J2" s="5"/>
      <c r="K2" s="5"/>
      <c r="L2" s="5"/>
      <c r="M2" s="5"/>
      <c r="N2" s="5"/>
      <c r="O2" s="5"/>
      <c r="P2" s="5"/>
      <c r="Q2" s="5">
        <v>2021</v>
      </c>
      <c r="R2" s="6"/>
      <c r="S2" s="6"/>
    </row>
    <row r="3" spans="1:19" ht="21" x14ac:dyDescent="0.35">
      <c r="A3" s="7" t="s">
        <v>1</v>
      </c>
      <c r="B3" s="7"/>
      <c r="C3" s="119" t="s">
        <v>2</v>
      </c>
      <c r="D3" s="119" t="s">
        <v>110</v>
      </c>
      <c r="E3" s="119" t="s">
        <v>111</v>
      </c>
      <c r="F3" s="119" t="s">
        <v>3</v>
      </c>
      <c r="G3" s="119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134</v>
      </c>
      <c r="N3" s="8" t="s">
        <v>10</v>
      </c>
      <c r="O3" s="8" t="s">
        <v>2</v>
      </c>
      <c r="P3" s="8" t="s">
        <v>110</v>
      </c>
      <c r="Q3" s="120" t="s">
        <v>111</v>
      </c>
      <c r="R3" s="10"/>
      <c r="S3" s="5"/>
    </row>
    <row r="4" spans="1:19" ht="21" x14ac:dyDescent="0.35">
      <c r="A4" s="11"/>
      <c r="B4" s="11"/>
      <c r="C4" s="121"/>
      <c r="D4" s="121"/>
      <c r="E4" s="121"/>
      <c r="F4" s="121"/>
      <c r="G4" s="121"/>
      <c r="H4" s="12"/>
      <c r="I4" s="12"/>
      <c r="J4" s="12"/>
      <c r="K4" s="12"/>
      <c r="L4" s="12"/>
      <c r="M4" s="12"/>
      <c r="N4" s="12"/>
      <c r="O4" s="12"/>
      <c r="P4" s="12"/>
      <c r="Q4" s="122"/>
      <c r="R4" s="12"/>
      <c r="S4" s="12"/>
    </row>
    <row r="5" spans="1:19" ht="21" x14ac:dyDescent="0.25">
      <c r="A5" s="13"/>
      <c r="B5" s="14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151</v>
      </c>
      <c r="P5" s="15" t="s">
        <v>152</v>
      </c>
      <c r="Q5" s="15" t="s">
        <v>153</v>
      </c>
      <c r="R5" s="16" t="s">
        <v>36</v>
      </c>
      <c r="S5" s="13" t="s">
        <v>37</v>
      </c>
    </row>
    <row r="6" spans="1:19" ht="21" x14ac:dyDescent="0.25">
      <c r="A6" s="13" t="s">
        <v>128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3.25" x14ac:dyDescent="0.25">
      <c r="A7" s="17" t="s">
        <v>154</v>
      </c>
      <c r="B7" s="18"/>
      <c r="C7" s="19">
        <v>568</v>
      </c>
      <c r="D7" s="19">
        <v>3738</v>
      </c>
      <c r="E7" s="19">
        <v>4862</v>
      </c>
      <c r="F7" s="19">
        <v>10903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>
        <f>SUM(C7:Q7)</f>
        <v>20071</v>
      </c>
      <c r="S7" s="21"/>
    </row>
    <row r="8" spans="1:19" ht="69.75" x14ac:dyDescent="0.25">
      <c r="A8" s="168" t="s">
        <v>38</v>
      </c>
      <c r="B8" s="22"/>
      <c r="C8" s="19">
        <v>1800</v>
      </c>
      <c r="D8" s="19">
        <v>5000</v>
      </c>
      <c r="E8" s="19">
        <v>400</v>
      </c>
      <c r="F8" s="19">
        <v>2160</v>
      </c>
      <c r="G8" s="19">
        <v>667</v>
      </c>
      <c r="H8" s="19">
        <v>1667</v>
      </c>
      <c r="I8" s="19">
        <v>1222</v>
      </c>
      <c r="J8" s="19">
        <v>2330</v>
      </c>
      <c r="K8" s="19"/>
      <c r="L8" s="19">
        <v>728</v>
      </c>
      <c r="M8" s="19"/>
      <c r="N8" s="19">
        <v>535</v>
      </c>
      <c r="O8" s="19">
        <v>1046</v>
      </c>
      <c r="P8" s="19">
        <v>5813</v>
      </c>
      <c r="Q8" s="19">
        <v>4051</v>
      </c>
      <c r="R8" s="20">
        <f>SUM(C8:Q8)</f>
        <v>27419</v>
      </c>
      <c r="S8" s="21"/>
    </row>
    <row r="9" spans="1:19" ht="21" x14ac:dyDescent="0.25">
      <c r="A9" s="13" t="s">
        <v>127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23.25" x14ac:dyDescent="0.25">
      <c r="A10" s="24" t="s">
        <v>39</v>
      </c>
      <c r="B10" s="22"/>
      <c r="C10" s="19"/>
      <c r="D10" s="19"/>
      <c r="E10" s="19"/>
      <c r="F10" s="19">
        <v>-4173</v>
      </c>
      <c r="G10" s="19"/>
      <c r="H10" s="19"/>
      <c r="J10" s="19"/>
      <c r="K10" s="19"/>
      <c r="L10" s="19"/>
      <c r="M10" s="19"/>
      <c r="N10" s="19"/>
      <c r="O10" s="19"/>
      <c r="P10" s="19">
        <v>-3000</v>
      </c>
      <c r="Q10" s="19"/>
      <c r="R10" s="20">
        <f>SUM(C10:Q10)</f>
        <v>-7173</v>
      </c>
      <c r="S10" s="21"/>
    </row>
    <row r="11" spans="1:19" ht="23.25" x14ac:dyDescent="0.25">
      <c r="A11" s="25" t="s">
        <v>40</v>
      </c>
      <c r="B11" s="26"/>
      <c r="D11" s="19">
        <v>-248</v>
      </c>
      <c r="E11" s="19"/>
      <c r="F11" s="19">
        <v>-536</v>
      </c>
      <c r="G11" s="19"/>
      <c r="H11" s="19">
        <v>-467</v>
      </c>
      <c r="I11" s="19"/>
      <c r="J11" s="19">
        <v>-223</v>
      </c>
      <c r="K11" s="19"/>
      <c r="L11" s="19"/>
      <c r="M11" s="19"/>
      <c r="N11" s="19"/>
      <c r="O11" s="19"/>
      <c r="P11" s="19"/>
      <c r="Q11" s="19"/>
      <c r="R11" s="20">
        <f>SUM(D11:Q11)</f>
        <v>-1474</v>
      </c>
      <c r="S11" s="21"/>
    </row>
    <row r="12" spans="1:19" ht="23.25" x14ac:dyDescent="0.25">
      <c r="A12" s="25" t="s">
        <v>41</v>
      </c>
      <c r="B12" s="27"/>
      <c r="D12" s="19">
        <v>-595</v>
      </c>
      <c r="E12" s="19"/>
      <c r="F12" s="19">
        <v>-1072</v>
      </c>
      <c r="G12" s="19"/>
      <c r="H12" s="19">
        <v>-1220</v>
      </c>
      <c r="I12" s="19"/>
      <c r="J12" s="19">
        <v>-1220</v>
      </c>
      <c r="L12" s="19">
        <v>-1314</v>
      </c>
      <c r="M12" s="19"/>
      <c r="N12" s="19">
        <v>-653</v>
      </c>
      <c r="O12" s="19"/>
      <c r="P12" s="19"/>
      <c r="Q12" s="19">
        <v>-851</v>
      </c>
      <c r="R12" s="20">
        <f>SUM(D12:Q12)</f>
        <v>-6925</v>
      </c>
      <c r="S12" s="21"/>
    </row>
    <row r="13" spans="1:19" ht="46.5" x14ac:dyDescent="0.25">
      <c r="A13" s="25" t="s">
        <v>42</v>
      </c>
      <c r="B13" s="2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-290</v>
      </c>
      <c r="O13" s="19">
        <v>-488</v>
      </c>
      <c r="P13" s="19"/>
      <c r="Q13" s="19">
        <v>-465</v>
      </c>
      <c r="R13" s="20">
        <f>SUM(C13:Q13)</f>
        <v>-1243</v>
      </c>
      <c r="S13" s="21"/>
    </row>
    <row r="14" spans="1:19" ht="116.25" x14ac:dyDescent="0.25">
      <c r="A14" s="25" t="s">
        <v>43</v>
      </c>
      <c r="B14" s="27"/>
      <c r="C14" s="19">
        <v>-691</v>
      </c>
      <c r="D14" s="19">
        <v>-836</v>
      </c>
      <c r="E14" s="19">
        <v>-1539</v>
      </c>
      <c r="F14" s="19">
        <v>-1583</v>
      </c>
      <c r="G14" s="19">
        <v>-53</v>
      </c>
      <c r="H14" s="19"/>
      <c r="I14" s="19"/>
      <c r="J14" s="19"/>
      <c r="K14" s="19"/>
      <c r="L14" s="19"/>
      <c r="M14" s="19"/>
      <c r="N14" s="19">
        <v>-465</v>
      </c>
      <c r="O14" s="19"/>
      <c r="P14" s="19">
        <v>-645</v>
      </c>
      <c r="Q14" s="19"/>
      <c r="R14" s="20">
        <f>SUM(C14:Q14)</f>
        <v>-5812</v>
      </c>
      <c r="S14" s="21"/>
    </row>
    <row r="15" spans="1:19" ht="23.25" x14ac:dyDescent="0.25">
      <c r="A15" s="25" t="s">
        <v>44</v>
      </c>
      <c r="B15" s="27"/>
      <c r="C15" s="19">
        <v>-120</v>
      </c>
      <c r="D15" s="19">
        <v>-120</v>
      </c>
      <c r="E15" s="19">
        <v>-120</v>
      </c>
      <c r="F15" s="19">
        <v>-120</v>
      </c>
      <c r="G15" s="19">
        <v>-100</v>
      </c>
      <c r="H15" s="19">
        <v>-100</v>
      </c>
      <c r="I15" s="19">
        <v>-100</v>
      </c>
      <c r="J15" s="19">
        <v>-100</v>
      </c>
      <c r="K15" s="19">
        <v>-108</v>
      </c>
      <c r="L15" s="19">
        <v>-108</v>
      </c>
      <c r="M15" s="19">
        <v>-107</v>
      </c>
      <c r="N15" s="19">
        <v>-105</v>
      </c>
      <c r="O15" s="19">
        <v>-105</v>
      </c>
      <c r="P15" s="19">
        <v>-105</v>
      </c>
      <c r="Q15" s="19">
        <v>-105</v>
      </c>
      <c r="R15" s="20">
        <f>SUM(C15:Q15)</f>
        <v>-1623</v>
      </c>
      <c r="S15" s="21"/>
    </row>
    <row r="16" spans="1:19" ht="46.5" x14ac:dyDescent="0.25">
      <c r="A16" s="25" t="s">
        <v>45</v>
      </c>
      <c r="B16" s="27"/>
      <c r="C16" s="19">
        <v>-67</v>
      </c>
      <c r="D16" s="19">
        <v>-27</v>
      </c>
      <c r="E16" s="19">
        <v>-279</v>
      </c>
      <c r="F16" s="19">
        <v>-24</v>
      </c>
      <c r="G16" s="19">
        <v>-28</v>
      </c>
      <c r="H16" s="19">
        <v>-8</v>
      </c>
      <c r="I16" s="19">
        <v>-11</v>
      </c>
      <c r="J16" s="19">
        <v>-8</v>
      </c>
      <c r="K16" s="19">
        <v>-8</v>
      </c>
      <c r="L16" s="19">
        <v>-8</v>
      </c>
      <c r="M16" s="19">
        <v>-12</v>
      </c>
      <c r="N16" s="19">
        <v>-8</v>
      </c>
      <c r="O16" s="19">
        <v>-11</v>
      </c>
      <c r="P16" s="19">
        <v>-11</v>
      </c>
      <c r="Q16" s="19">
        <v>-11</v>
      </c>
      <c r="R16" s="20">
        <f>SUM(C16:Q16)</f>
        <v>-521</v>
      </c>
      <c r="S16" s="21"/>
    </row>
    <row r="17" spans="1:19" ht="23.25" x14ac:dyDescent="0.25">
      <c r="A17" s="25" t="s">
        <v>155</v>
      </c>
      <c r="B17" s="27"/>
      <c r="C17" s="19">
        <v>-1309</v>
      </c>
      <c r="D17" s="19">
        <v>-2933</v>
      </c>
      <c r="E17" s="19">
        <v>-2933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3"/>
      <c r="Q17" s="19"/>
      <c r="R17" s="20">
        <f>SUM(C17:Q17)</f>
        <v>-7175</v>
      </c>
      <c r="S17" s="21"/>
    </row>
    <row r="18" spans="1:19" ht="23.25" x14ac:dyDescent="0.25">
      <c r="A18" s="25" t="s">
        <v>46</v>
      </c>
      <c r="B18" s="27"/>
      <c r="C18" s="19"/>
      <c r="D18" s="19"/>
      <c r="E18" s="19">
        <v>-131</v>
      </c>
      <c r="F18" s="19">
        <v>-9962</v>
      </c>
      <c r="G18" s="19"/>
      <c r="H18" s="19"/>
      <c r="I18" s="19"/>
      <c r="J18" s="19"/>
      <c r="K18" s="19"/>
      <c r="L18" s="19"/>
      <c r="M18" s="19"/>
      <c r="O18" s="19"/>
      <c r="P18" s="23"/>
      <c r="Q18" s="19"/>
      <c r="R18" s="20">
        <f>SUM(C18:Q18)</f>
        <v>-10093</v>
      </c>
      <c r="S18" s="21"/>
    </row>
    <row r="19" spans="1:19" ht="23.25" x14ac:dyDescent="0.25">
      <c r="A19" s="25" t="s">
        <v>156</v>
      </c>
      <c r="B19" s="2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O19" s="19"/>
      <c r="P19" s="23"/>
      <c r="Q19" s="19"/>
      <c r="R19" s="20">
        <f>SUM(C19:Q19)</f>
        <v>0</v>
      </c>
      <c r="S19" s="21"/>
    </row>
    <row r="20" spans="1:19" ht="23.25" x14ac:dyDescent="0.25">
      <c r="A20" s="25"/>
      <c r="B20" s="27"/>
      <c r="C20" s="19"/>
      <c r="D20" s="1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/>
      <c r="Q20" s="169"/>
      <c r="R20" s="20">
        <f>SUM(C20:Q20)</f>
        <v>0</v>
      </c>
      <c r="S20" s="21"/>
    </row>
    <row r="21" spans="1:19" ht="23.25" x14ac:dyDescent="0.25">
      <c r="A21" s="28" t="s">
        <v>48</v>
      </c>
      <c r="B21" s="28"/>
      <c r="C21" s="29">
        <f>SUM(C7:C20)</f>
        <v>181</v>
      </c>
      <c r="D21" s="29">
        <f>SUM(D7:D20)</f>
        <v>3979</v>
      </c>
      <c r="E21" s="29">
        <f>SUM(E7:E20)</f>
        <v>260</v>
      </c>
      <c r="F21" s="29">
        <f>SUM(F7:F20)</f>
        <v>-4407</v>
      </c>
      <c r="G21" s="29">
        <f>SUM(G7:G20)</f>
        <v>486</v>
      </c>
      <c r="H21" s="29">
        <f>SUM(H7:H20)</f>
        <v>-128</v>
      </c>
      <c r="I21" s="29">
        <f>SUM(I7:I20)</f>
        <v>1111</v>
      </c>
      <c r="J21" s="29">
        <f>SUM(J7:J20)</f>
        <v>779</v>
      </c>
      <c r="K21" s="29">
        <f>SUM(K7:K20)</f>
        <v>-116</v>
      </c>
      <c r="L21" s="29">
        <f>SUM(L7:L20)</f>
        <v>-702</v>
      </c>
      <c r="M21" s="29">
        <f>SUM(M7:M20)</f>
        <v>-119</v>
      </c>
      <c r="N21" s="29">
        <f>SUM(N7:N20)</f>
        <v>-986</v>
      </c>
      <c r="O21" s="29">
        <f>SUM(O7:O20)</f>
        <v>442</v>
      </c>
      <c r="P21" s="29">
        <f>SUM(P7:P20)</f>
        <v>2052</v>
      </c>
      <c r="Q21" s="29">
        <f>SUM(Q7:Q20)</f>
        <v>2619</v>
      </c>
      <c r="R21" s="29">
        <f>SUM(R7:R20)</f>
        <v>5451</v>
      </c>
      <c r="S21" s="31"/>
    </row>
    <row r="22" spans="1:19" ht="23.25" x14ac:dyDescent="0.3">
      <c r="A22" s="28" t="s">
        <v>49</v>
      </c>
      <c r="B22" s="28"/>
      <c r="C22" s="29"/>
      <c r="D22" s="29">
        <f>C21+D21</f>
        <v>4160</v>
      </c>
      <c r="E22" s="29">
        <f>D22+E21</f>
        <v>4420</v>
      </c>
      <c r="F22" s="29">
        <f t="shared" ref="F22:Q22" si="0">E22+F21</f>
        <v>13</v>
      </c>
      <c r="G22" s="29">
        <f t="shared" si="0"/>
        <v>499</v>
      </c>
      <c r="H22" s="29">
        <f t="shared" si="0"/>
        <v>371</v>
      </c>
      <c r="I22" s="29">
        <f t="shared" si="0"/>
        <v>1482</v>
      </c>
      <c r="J22" s="29">
        <f t="shared" si="0"/>
        <v>2261</v>
      </c>
      <c r="K22" s="29">
        <f t="shared" si="0"/>
        <v>2145</v>
      </c>
      <c r="L22" s="29">
        <f t="shared" si="0"/>
        <v>1443</v>
      </c>
      <c r="M22" s="29">
        <f t="shared" si="0"/>
        <v>1324</v>
      </c>
      <c r="N22" s="29">
        <f t="shared" si="0"/>
        <v>338</v>
      </c>
      <c r="O22" s="29">
        <f t="shared" si="0"/>
        <v>780</v>
      </c>
      <c r="P22" s="29">
        <f t="shared" si="0"/>
        <v>2832</v>
      </c>
      <c r="Q22" s="29">
        <f t="shared" si="0"/>
        <v>5451</v>
      </c>
      <c r="R22" s="32"/>
    </row>
    <row r="23" spans="1:19" x14ac:dyDescent="0.25">
      <c r="C23" s="171"/>
      <c r="D23" s="33"/>
      <c r="R23" s="33"/>
    </row>
    <row r="24" spans="1:19" ht="15.75" x14ac:dyDescent="0.25">
      <c r="C24" s="33"/>
      <c r="E24" s="171"/>
      <c r="F24" s="171"/>
      <c r="G24" s="171"/>
      <c r="H24" s="171"/>
      <c r="Q24" s="172"/>
      <c r="R24" s="33"/>
    </row>
    <row r="25" spans="1:19" x14ac:dyDescent="0.25">
      <c r="D25" s="171"/>
      <c r="O25" s="173" t="s">
        <v>50</v>
      </c>
    </row>
    <row r="26" spans="1:19" ht="21" x14ac:dyDescent="0.25">
      <c r="N26" s="19"/>
      <c r="O26" s="19"/>
      <c r="P26" s="19"/>
    </row>
    <row r="28" spans="1:19" x14ac:dyDescent="0.25">
      <c r="N28" s="171"/>
      <c r="O28" s="171"/>
      <c r="P28" s="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Project Account</vt:lpstr>
      <vt:lpstr>StudentMember (BAU) Account</vt:lpstr>
      <vt:lpstr>Project Account - 2020</vt:lpstr>
      <vt:lpstr>Students Account - 2020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Aibek</dc:creator>
  <cp:lastModifiedBy>Aibek</cp:lastModifiedBy>
  <dcterms:created xsi:type="dcterms:W3CDTF">2021-01-06T17:30:27Z</dcterms:created>
  <dcterms:modified xsi:type="dcterms:W3CDTF">2021-01-15T12:07:12Z</dcterms:modified>
</cp:coreProperties>
</file>