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April" sheetId="15" r:id="rId8"/>
    <sheet name="TB" sheetId="13" r:id="rId9"/>
    <sheet name="Investment" sheetId="14" r:id="rId10"/>
  </sheets>
  <externalReferences>
    <externalReference r:id="rId11"/>
  </externalReferences>
  <definedNames>
    <definedName name="_xlnm._FilterDatabase" localSheetId="0" hidden="1">'Man Accs '!$B$6:$M$6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Sheet'!$A$1:$I$40</definedName>
    <definedName name="_xlnm.Print_Area" localSheetId="0">'Man Accs '!$B$1:$M$45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TB!$A$1:$R$116</definedName>
    <definedName name="_xlnm.Print_Area" localSheetId="7">'TB (2) - April'!$A$1:$G$116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F45" i="10" l="1"/>
  <c r="S45" i="10"/>
  <c r="T45" i="10"/>
  <c r="U45" i="10"/>
  <c r="V45" i="10"/>
  <c r="W45" i="10"/>
  <c r="X45" i="10"/>
  <c r="Y45" i="10"/>
  <c r="Z45" i="10"/>
  <c r="AA45" i="10"/>
  <c r="AB45" i="10"/>
  <c r="AC45" i="10"/>
  <c r="R45" i="10"/>
  <c r="R43" i="10"/>
  <c r="S18" i="10"/>
  <c r="T18" i="10"/>
  <c r="U18" i="10"/>
  <c r="V18" i="10"/>
  <c r="W18" i="10"/>
  <c r="X18" i="10"/>
  <c r="Y18" i="10"/>
  <c r="Z18" i="10"/>
  <c r="AA18" i="10"/>
  <c r="AB18" i="10"/>
  <c r="AC18" i="10"/>
  <c r="R18" i="10"/>
  <c r="Q45" i="10"/>
  <c r="AC9" i="10"/>
  <c r="U9" i="10"/>
  <c r="V9" i="10"/>
  <c r="W9" i="10"/>
  <c r="X9" i="10"/>
  <c r="Y9" i="10"/>
  <c r="Z9" i="10"/>
  <c r="AA9" i="10"/>
  <c r="AB9" i="10"/>
  <c r="T9" i="10"/>
  <c r="S9" i="10"/>
  <c r="F29" i="10" l="1"/>
  <c r="J36" i="14" l="1"/>
  <c r="F36" i="14"/>
  <c r="I35" i="14"/>
  <c r="G35" i="14"/>
  <c r="H34" i="14"/>
  <c r="H33" i="14"/>
  <c r="F33" i="14"/>
  <c r="J29" i="14"/>
  <c r="F29" i="14"/>
  <c r="I28" i="14"/>
  <c r="G28" i="14"/>
  <c r="H27" i="14"/>
  <c r="H26" i="14"/>
  <c r="F26" i="14"/>
  <c r="J22" i="14"/>
  <c r="F22" i="14"/>
  <c r="I21" i="14"/>
  <c r="G21" i="14"/>
  <c r="H20" i="14"/>
  <c r="F20" i="14"/>
  <c r="H19" i="14"/>
  <c r="F19" i="14"/>
  <c r="J15" i="14"/>
  <c r="F15" i="14"/>
  <c r="I14" i="14"/>
  <c r="G14" i="14"/>
  <c r="H13" i="14"/>
  <c r="F13" i="14"/>
  <c r="H12" i="14"/>
  <c r="F12" i="14"/>
  <c r="B9" i="14"/>
  <c r="B16" i="14" s="1"/>
  <c r="B23" i="14" s="1"/>
  <c r="B30" i="14" s="1"/>
  <c r="B37" i="14" s="1"/>
  <c r="J8" i="14"/>
  <c r="F8" i="14"/>
  <c r="I7" i="14"/>
  <c r="G7" i="14"/>
  <c r="H6" i="14"/>
  <c r="F6" i="14"/>
  <c r="H5" i="14"/>
  <c r="F5" i="14"/>
  <c r="E43" i="10" l="1"/>
  <c r="E9" i="10"/>
  <c r="E12" i="10"/>
  <c r="E13" i="10"/>
  <c r="E14" i="10"/>
  <c r="E15" i="10"/>
  <c r="E16" i="10"/>
  <c r="E17" i="10"/>
  <c r="E8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21" i="10"/>
  <c r="C8" i="10"/>
  <c r="D8" i="10" s="1"/>
  <c r="D101" i="15"/>
  <c r="D102" i="15"/>
  <c r="D53" i="15"/>
  <c r="G113" i="15" l="1"/>
  <c r="F111" i="15"/>
  <c r="D111" i="15" s="1"/>
  <c r="F110" i="15"/>
  <c r="D110" i="15" s="1"/>
  <c r="F109" i="15"/>
  <c r="D109" i="15" s="1"/>
  <c r="C36" i="10" s="1"/>
  <c r="D36" i="10" s="1"/>
  <c r="F108" i="15"/>
  <c r="D108" i="15" s="1"/>
  <c r="C27" i="10" s="1"/>
  <c r="D27" i="10" s="1"/>
  <c r="F107" i="15"/>
  <c r="D107" i="15" s="1"/>
  <c r="C26" i="10" s="1"/>
  <c r="D26" i="10" s="1"/>
  <c r="F106" i="15"/>
  <c r="D106" i="15" s="1"/>
  <c r="C34" i="10" s="1"/>
  <c r="D34" i="10" s="1"/>
  <c r="F105" i="15"/>
  <c r="D105" i="15" s="1"/>
  <c r="C42" i="10" s="1"/>
  <c r="D42" i="10" s="1"/>
  <c r="F104" i="15"/>
  <c r="D104" i="15" s="1"/>
  <c r="C31" i="10" s="1"/>
  <c r="D31" i="10" s="1"/>
  <c r="F103" i="15"/>
  <c r="D103" i="15" s="1"/>
  <c r="C25" i="10" s="1"/>
  <c r="D25" i="10" s="1"/>
  <c r="F100" i="15"/>
  <c r="D100" i="15" s="1"/>
  <c r="F99" i="15"/>
  <c r="D99" i="15" s="1"/>
  <c r="F98" i="15"/>
  <c r="D98" i="15" s="1"/>
  <c r="F97" i="15"/>
  <c r="D97" i="15" s="1"/>
  <c r="F96" i="15"/>
  <c r="D96" i="15" s="1"/>
  <c r="F95" i="15"/>
  <c r="D95" i="15" s="1"/>
  <c r="C41" i="10" s="1"/>
  <c r="D41" i="10" s="1"/>
  <c r="F94" i="15"/>
  <c r="D94" i="15" s="1"/>
  <c r="C40" i="10" s="1"/>
  <c r="D40" i="10" s="1"/>
  <c r="F93" i="15"/>
  <c r="D93" i="15" s="1"/>
  <c r="C38" i="10" s="1"/>
  <c r="D38" i="10" s="1"/>
  <c r="F92" i="15"/>
  <c r="D92" i="15" s="1"/>
  <c r="F91" i="15"/>
  <c r="D91" i="15" s="1"/>
  <c r="C35" i="10" s="1"/>
  <c r="D35" i="10" s="1"/>
  <c r="F90" i="15"/>
  <c r="D90" i="15" s="1"/>
  <c r="F89" i="15"/>
  <c r="D89" i="15" s="1"/>
  <c r="F88" i="15"/>
  <c r="D88" i="15" s="1"/>
  <c r="F87" i="15"/>
  <c r="D87" i="15" s="1"/>
  <c r="F86" i="15"/>
  <c r="D86" i="15" s="1"/>
  <c r="C32" i="10" s="1"/>
  <c r="D32" i="10" s="1"/>
  <c r="F85" i="15"/>
  <c r="D85" i="15" s="1"/>
  <c r="F84" i="15"/>
  <c r="D84" i="15" s="1"/>
  <c r="F83" i="15"/>
  <c r="D83" i="15" s="1"/>
  <c r="F82" i="15"/>
  <c r="D82" i="15" s="1"/>
  <c r="F81" i="15"/>
  <c r="D81" i="15" s="1"/>
  <c r="F80" i="15"/>
  <c r="D80" i="15" s="1"/>
  <c r="F79" i="15"/>
  <c r="D79" i="15" s="1"/>
  <c r="F78" i="15"/>
  <c r="D78" i="15" s="1"/>
  <c r="F77" i="15"/>
  <c r="D77" i="15" s="1"/>
  <c r="F76" i="15"/>
  <c r="D76" i="15" s="1"/>
  <c r="F75" i="15"/>
  <c r="D75" i="15" s="1"/>
  <c r="C28" i="10" s="1"/>
  <c r="D28" i="10" s="1"/>
  <c r="F74" i="15"/>
  <c r="D74" i="15" s="1"/>
  <c r="C33" i="10" s="1"/>
  <c r="D33" i="10" s="1"/>
  <c r="F73" i="15"/>
  <c r="D73" i="15" s="1"/>
  <c r="F72" i="15"/>
  <c r="D72" i="15" s="1"/>
  <c r="F71" i="15"/>
  <c r="D71" i="15" s="1"/>
  <c r="F70" i="15"/>
  <c r="D70" i="15" s="1"/>
  <c r="F69" i="15"/>
  <c r="D69" i="15" s="1"/>
  <c r="C29" i="10" s="1"/>
  <c r="D29" i="10" s="1"/>
  <c r="F68" i="15"/>
  <c r="D68" i="15" s="1"/>
  <c r="F67" i="15"/>
  <c r="D67" i="15" s="1"/>
  <c r="F66" i="15"/>
  <c r="D66" i="15" s="1"/>
  <c r="F65" i="15"/>
  <c r="D65" i="15" s="1"/>
  <c r="C30" i="10" s="1"/>
  <c r="D30" i="10" s="1"/>
  <c r="F64" i="15"/>
  <c r="D64" i="15" s="1"/>
  <c r="F63" i="15"/>
  <c r="D63" i="15" s="1"/>
  <c r="F62" i="15"/>
  <c r="D62" i="15" s="1"/>
  <c r="F61" i="15"/>
  <c r="D61" i="15" s="1"/>
  <c r="C24" i="10" s="1"/>
  <c r="D24" i="10" s="1"/>
  <c r="F60" i="15"/>
  <c r="D60" i="15" s="1"/>
  <c r="C23" i="10" s="1"/>
  <c r="D23" i="10" s="1"/>
  <c r="F59" i="15"/>
  <c r="D59" i="15" s="1"/>
  <c r="C22" i="10" s="1"/>
  <c r="D22" i="10" s="1"/>
  <c r="F58" i="15"/>
  <c r="D58" i="15" s="1"/>
  <c r="F57" i="15"/>
  <c r="D57" i="15" s="1"/>
  <c r="F56" i="15"/>
  <c r="D56" i="15" s="1"/>
  <c r="F55" i="15"/>
  <c r="D55" i="15" s="1"/>
  <c r="F54" i="15"/>
  <c r="D54" i="15" s="1"/>
  <c r="C21" i="10" s="1"/>
  <c r="F52" i="15"/>
  <c r="D52" i="15" s="1"/>
  <c r="F51" i="15"/>
  <c r="D51" i="15" s="1"/>
  <c r="F50" i="15"/>
  <c r="D50" i="15" s="1"/>
  <c r="C15" i="10" s="1"/>
  <c r="D15" i="10" s="1"/>
  <c r="F49" i="15"/>
  <c r="D49" i="15" s="1"/>
  <c r="F48" i="15"/>
  <c r="D48" i="15" s="1"/>
  <c r="F47" i="15"/>
  <c r="D47" i="15" s="1"/>
  <c r="F46" i="15"/>
  <c r="D46" i="15" s="1"/>
  <c r="C14" i="10" s="1"/>
  <c r="D14" i="10" s="1"/>
  <c r="F45" i="15"/>
  <c r="D45" i="15" s="1"/>
  <c r="F44" i="15"/>
  <c r="D44" i="15" s="1"/>
  <c r="C16" i="10" s="1"/>
  <c r="D16" i="10" s="1"/>
  <c r="F43" i="15"/>
  <c r="D43" i="15" s="1"/>
  <c r="F42" i="15"/>
  <c r="D42" i="15" s="1"/>
  <c r="C13" i="10" s="1"/>
  <c r="D13" i="10" s="1"/>
  <c r="F41" i="15"/>
  <c r="D41" i="15" s="1"/>
  <c r="F40" i="15"/>
  <c r="D40" i="15" s="1"/>
  <c r="C12" i="10" s="1"/>
  <c r="D12" i="10" s="1"/>
  <c r="F39" i="15"/>
  <c r="D39" i="15" s="1"/>
  <c r="F38" i="15"/>
  <c r="D38" i="15" s="1"/>
  <c r="C17" i="10" s="1"/>
  <c r="D17" i="10" s="1"/>
  <c r="F37" i="15"/>
  <c r="D37" i="15" s="1"/>
  <c r="F36" i="15"/>
  <c r="D36" i="15" s="1"/>
  <c r="F35" i="15"/>
  <c r="D35" i="15" s="1"/>
  <c r="C11" i="10" s="1"/>
  <c r="F34" i="15"/>
  <c r="D34" i="15" s="1"/>
  <c r="F33" i="15"/>
  <c r="D33" i="15" s="1"/>
  <c r="C10" i="10" s="1"/>
  <c r="F32" i="15"/>
  <c r="D32" i="15" s="1"/>
  <c r="F29" i="15"/>
  <c r="D29" i="15" s="1"/>
  <c r="F28" i="15"/>
  <c r="D28" i="15" s="1"/>
  <c r="F27" i="15"/>
  <c r="D27" i="15" s="1"/>
  <c r="F25" i="15"/>
  <c r="D25" i="15" s="1"/>
  <c r="F24" i="15"/>
  <c r="D24" i="15" s="1"/>
  <c r="F23" i="15"/>
  <c r="D23" i="15" s="1"/>
  <c r="D22" i="15"/>
  <c r="F21" i="15"/>
  <c r="D21" i="15" s="1"/>
  <c r="F20" i="15"/>
  <c r="D20" i="15" s="1"/>
  <c r="F19" i="15"/>
  <c r="D19" i="15" s="1"/>
  <c r="F18" i="15"/>
  <c r="D18" i="15" s="1"/>
  <c r="F17" i="15"/>
  <c r="D17" i="15" s="1"/>
  <c r="F16" i="15"/>
  <c r="D16" i="15" s="1"/>
  <c r="F15" i="15"/>
  <c r="D15" i="15" s="1"/>
  <c r="F14" i="15"/>
  <c r="D14" i="15" s="1"/>
  <c r="F13" i="15"/>
  <c r="D13" i="15" s="1"/>
  <c r="F12" i="15"/>
  <c r="D12" i="15" s="1"/>
  <c r="F10" i="15"/>
  <c r="D10" i="15" s="1"/>
  <c r="F9" i="15"/>
  <c r="D9" i="15" s="1"/>
  <c r="F8" i="15"/>
  <c r="D8" i="15" s="1"/>
  <c r="F7" i="15"/>
  <c r="D7" i="15" s="1"/>
  <c r="F6" i="15"/>
  <c r="D6" i="15" s="1"/>
  <c r="F5" i="15"/>
  <c r="D5" i="15" s="1"/>
  <c r="F4" i="15"/>
  <c r="D4" i="15" s="1"/>
  <c r="C3" i="15"/>
  <c r="C9" i="10" l="1"/>
  <c r="D21" i="10"/>
  <c r="C39" i="10"/>
  <c r="D39" i="10" s="1"/>
  <c r="C37" i="10"/>
  <c r="D37" i="10" s="1"/>
  <c r="F26" i="15"/>
  <c r="D26" i="15" s="1"/>
  <c r="D3" i="15" s="1"/>
  <c r="D113" i="15"/>
  <c r="C48" i="10" s="1"/>
  <c r="C43" i="10" l="1"/>
  <c r="D9" i="10"/>
  <c r="C18" i="10"/>
  <c r="F3" i="15"/>
  <c r="D115" i="15"/>
  <c r="K45" i="10"/>
  <c r="F40" i="3"/>
  <c r="F38" i="3"/>
  <c r="E24" i="3"/>
  <c r="E21" i="3"/>
  <c r="E15" i="3"/>
  <c r="Q18" i="10"/>
  <c r="Q43" i="10"/>
  <c r="K43" i="10"/>
  <c r="K18" i="10"/>
  <c r="D43" i="10" l="1"/>
  <c r="C45" i="10"/>
  <c r="E25" i="3"/>
  <c r="F28" i="3" s="1"/>
  <c r="F30" i="3" s="1"/>
  <c r="C47" i="10" l="1"/>
  <c r="C49" i="10"/>
  <c r="O10" i="10"/>
  <c r="O11" i="10"/>
  <c r="O9" i="10" l="1"/>
  <c r="F38" i="13" l="1"/>
  <c r="F14" i="13" l="1"/>
  <c r="D14" i="13" s="1"/>
  <c r="F13" i="13"/>
  <c r="C3" i="13" l="1"/>
  <c r="G26" i="13" s="1"/>
  <c r="B2" i="3" l="1"/>
  <c r="F8" i="10" l="1"/>
  <c r="G113" i="13" l="1"/>
  <c r="H113" i="13"/>
  <c r="I42" i="10" l="1"/>
  <c r="I40" i="10"/>
  <c r="I41" i="10"/>
  <c r="I16" i="10"/>
  <c r="I15" i="10"/>
  <c r="I14" i="10"/>
  <c r="I8" i="10"/>
  <c r="AD15" i="10"/>
  <c r="AE15" i="10" s="1"/>
  <c r="AD42" i="10"/>
  <c r="AE42" i="10" s="1"/>
  <c r="AD40" i="10"/>
  <c r="AE40" i="10" s="1"/>
  <c r="AD41" i="10"/>
  <c r="AE41" i="10" s="1"/>
  <c r="G8" i="10" l="1"/>
  <c r="AC36" i="10"/>
  <c r="AB36" i="10"/>
  <c r="AA36" i="10"/>
  <c r="Z36" i="10"/>
  <c r="Y36" i="10"/>
  <c r="X36" i="10"/>
  <c r="W36" i="10"/>
  <c r="V36" i="10"/>
  <c r="U36" i="10"/>
  <c r="T36" i="10"/>
  <c r="S36" i="10"/>
  <c r="R36" i="10"/>
  <c r="V25" i="10"/>
  <c r="I25" i="10" s="1"/>
  <c r="AC13" i="10"/>
  <c r="AB13" i="10"/>
  <c r="AA13" i="10"/>
  <c r="Z13" i="10"/>
  <c r="Y13" i="10"/>
  <c r="X13" i="10"/>
  <c r="W13" i="10"/>
  <c r="V13" i="10"/>
  <c r="U13" i="10"/>
  <c r="T13" i="10"/>
  <c r="S13" i="10"/>
  <c r="R13" i="10"/>
  <c r="H8" i="10" l="1"/>
  <c r="I13" i="10"/>
  <c r="R10" i="10"/>
  <c r="E10" i="10" s="1"/>
  <c r="I9" i="10"/>
  <c r="AD36" i="10"/>
  <c r="AE36" i="10" s="1"/>
  <c r="I36" i="10"/>
  <c r="R113" i="13"/>
  <c r="Q113" i="13"/>
  <c r="P113" i="13"/>
  <c r="O113" i="13"/>
  <c r="N113" i="13"/>
  <c r="M113" i="13"/>
  <c r="L113" i="13"/>
  <c r="K113" i="13"/>
  <c r="J113" i="13"/>
  <c r="I113" i="13"/>
  <c r="D10" i="10" l="1"/>
  <c r="B24" i="3"/>
  <c r="D22" i="13"/>
  <c r="M43" i="10" l="1"/>
  <c r="M18" i="10"/>
  <c r="M45" i="10" l="1"/>
  <c r="F52" i="13"/>
  <c r="F51" i="13"/>
  <c r="F50" i="13"/>
  <c r="F24" i="13" l="1"/>
  <c r="F95" i="13" l="1"/>
  <c r="F96" i="13"/>
  <c r="F97" i="13"/>
  <c r="F98" i="13"/>
  <c r="F99" i="13"/>
  <c r="F100" i="13"/>
  <c r="D50" i="13" l="1"/>
  <c r="D51" i="13"/>
  <c r="D52" i="13"/>
  <c r="D95" i="13"/>
  <c r="D96" i="13"/>
  <c r="D97" i="13"/>
  <c r="D98" i="13"/>
  <c r="D99" i="13"/>
  <c r="D100" i="13"/>
  <c r="F41" i="10" l="1"/>
  <c r="G41" i="10" s="1"/>
  <c r="F15" i="10"/>
  <c r="F26" i="13"/>
  <c r="F5" i="13"/>
  <c r="F6" i="13"/>
  <c r="F7" i="13"/>
  <c r="F8" i="13"/>
  <c r="D8" i="13" s="1"/>
  <c r="F9" i="13"/>
  <c r="F10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H41" i="10" l="1"/>
  <c r="G15" i="10"/>
  <c r="J15" i="10"/>
  <c r="L41" i="10"/>
  <c r="J41" i="10"/>
  <c r="L15" i="10"/>
  <c r="D26" i="13"/>
  <c r="F46" i="13"/>
  <c r="D46" i="13" s="1"/>
  <c r="F14" i="10" s="1"/>
  <c r="F47" i="13"/>
  <c r="D47" i="13" s="1"/>
  <c r="F48" i="13"/>
  <c r="D48" i="13" s="1"/>
  <c r="F16" i="10" s="1"/>
  <c r="F49" i="13"/>
  <c r="D49" i="13" s="1"/>
  <c r="F54" i="13"/>
  <c r="D54" i="13" s="1"/>
  <c r="F21" i="10" s="1"/>
  <c r="J21" i="10" s="1"/>
  <c r="F55" i="13"/>
  <c r="D55" i="13" s="1"/>
  <c r="F56" i="13"/>
  <c r="D56" i="13" s="1"/>
  <c r="F57" i="13"/>
  <c r="D57" i="13" s="1"/>
  <c r="F58" i="13"/>
  <c r="D58" i="13" s="1"/>
  <c r="F59" i="13"/>
  <c r="D59" i="13" s="1"/>
  <c r="F22" i="10" s="1"/>
  <c r="F60" i="13"/>
  <c r="D60" i="13" s="1"/>
  <c r="F23" i="10" s="1"/>
  <c r="F61" i="13"/>
  <c r="D61" i="13" s="1"/>
  <c r="F24" i="10" s="1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D74" i="13" s="1"/>
  <c r="F33" i="10" s="1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3" i="13"/>
  <c r="D83" i="13" s="1"/>
  <c r="F84" i="13"/>
  <c r="D84" i="13" s="1"/>
  <c r="F85" i="13"/>
  <c r="D85" i="13" s="1"/>
  <c r="F86" i="13"/>
  <c r="D86" i="13" s="1"/>
  <c r="F32" i="10" s="1"/>
  <c r="F87" i="13"/>
  <c r="D87" i="13" s="1"/>
  <c r="F88" i="13"/>
  <c r="D88" i="13" s="1"/>
  <c r="F89" i="13"/>
  <c r="D89" i="13" s="1"/>
  <c r="F90" i="13"/>
  <c r="D90" i="13" s="1"/>
  <c r="F91" i="13"/>
  <c r="D91" i="13" s="1"/>
  <c r="F35" i="10" s="1"/>
  <c r="F92" i="13"/>
  <c r="D92" i="13" s="1"/>
  <c r="F93" i="13"/>
  <c r="D93" i="13" s="1"/>
  <c r="F94" i="13"/>
  <c r="D94" i="13" s="1"/>
  <c r="F40" i="10" s="1"/>
  <c r="F103" i="13"/>
  <c r="D103" i="13" s="1"/>
  <c r="F25" i="10" s="1"/>
  <c r="F104" i="13"/>
  <c r="D104" i="13" s="1"/>
  <c r="F31" i="10" s="1"/>
  <c r="F105" i="13"/>
  <c r="D105" i="13" s="1"/>
  <c r="F42" i="10" s="1"/>
  <c r="F106" i="13"/>
  <c r="D106" i="13" s="1"/>
  <c r="F34" i="10" s="1"/>
  <c r="F107" i="13"/>
  <c r="D107" i="13" s="1"/>
  <c r="F26" i="10" s="1"/>
  <c r="F108" i="13"/>
  <c r="D108" i="13" s="1"/>
  <c r="F27" i="10" s="1"/>
  <c r="F109" i="13"/>
  <c r="D109" i="13" s="1"/>
  <c r="F36" i="10" s="1"/>
  <c r="F110" i="13"/>
  <c r="D110" i="13" s="1"/>
  <c r="F111" i="13"/>
  <c r="D111" i="13" s="1"/>
  <c r="H15" i="10" l="1"/>
  <c r="G16" i="10"/>
  <c r="H16" i="10" s="1"/>
  <c r="G14" i="10"/>
  <c r="F37" i="10"/>
  <c r="F39" i="10"/>
  <c r="F38" i="10"/>
  <c r="F28" i="10"/>
  <c r="F30" i="10"/>
  <c r="J23" i="10"/>
  <c r="L16" i="10"/>
  <c r="J16" i="10"/>
  <c r="AD25" i="10"/>
  <c r="F34" i="13"/>
  <c r="D34" i="13" s="1"/>
  <c r="F35" i="13"/>
  <c r="D35" i="13" s="1"/>
  <c r="F11" i="10" s="1"/>
  <c r="F36" i="13"/>
  <c r="D36" i="13" s="1"/>
  <c r="F37" i="13"/>
  <c r="D37" i="13" s="1"/>
  <c r="D38" i="13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33" i="13" s="1"/>
  <c r="F10" i="10" s="1"/>
  <c r="F9" i="10" s="1"/>
  <c r="D29" i="13"/>
  <c r="D28" i="13"/>
  <c r="D27" i="13"/>
  <c r="D25" i="13"/>
  <c r="B11" i="3" s="1"/>
  <c r="D24" i="13"/>
  <c r="B22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H14" i="10" l="1"/>
  <c r="B14" i="3"/>
  <c r="F43" i="10"/>
  <c r="D113" i="13"/>
  <c r="F48" i="10" s="1"/>
  <c r="C40" i="3"/>
  <c r="F13" i="10"/>
  <c r="F12" i="10"/>
  <c r="F17" i="10"/>
  <c r="L23" i="10"/>
  <c r="L8" i="10"/>
  <c r="J8" i="10"/>
  <c r="L38" i="10"/>
  <c r="J38" i="10"/>
  <c r="L10" i="10"/>
  <c r="L37" i="10"/>
  <c r="J37" i="10"/>
  <c r="C34" i="3"/>
  <c r="C35" i="3"/>
  <c r="G13" i="10" l="1"/>
  <c r="H13" i="10" s="1"/>
  <c r="G9" i="10"/>
  <c r="F18" i="10"/>
  <c r="F49" i="10" s="1"/>
  <c r="L12" i="10"/>
  <c r="J12" i="10"/>
  <c r="H9" i="10" l="1"/>
  <c r="J18" i="10"/>
  <c r="F47" i="10"/>
  <c r="L21" i="10" l="1"/>
  <c r="B12" i="3" l="1"/>
  <c r="B15" i="3" s="1"/>
  <c r="T17" i="10" l="1"/>
  <c r="I17" i="10" s="1"/>
  <c r="W17" i="10"/>
  <c r="Z17" i="10"/>
  <c r="AC17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AC21" i="10"/>
  <c r="AC43" i="10" s="1"/>
  <c r="AB21" i="10"/>
  <c r="AB43" i="10" s="1"/>
  <c r="AA21" i="10"/>
  <c r="AA43" i="10" s="1"/>
  <c r="Z21" i="10"/>
  <c r="Z43" i="10" s="1"/>
  <c r="Y21" i="10"/>
  <c r="Y43" i="10" s="1"/>
  <c r="X21" i="10"/>
  <c r="X43" i="10" s="1"/>
  <c r="W21" i="10"/>
  <c r="V21" i="10"/>
  <c r="V43" i="10" s="1"/>
  <c r="U21" i="10"/>
  <c r="U43" i="10" s="1"/>
  <c r="T21" i="10"/>
  <c r="T43" i="10" s="1"/>
  <c r="S21" i="10"/>
  <c r="S43" i="10" s="1"/>
  <c r="R21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R11" i="10"/>
  <c r="E11" i="10" s="1"/>
  <c r="AD16" i="10"/>
  <c r="AE16" i="10" s="1"/>
  <c r="D11" i="10" l="1"/>
  <c r="E18" i="10"/>
  <c r="G17" i="10"/>
  <c r="I22" i="10"/>
  <c r="I24" i="10"/>
  <c r="I27" i="10"/>
  <c r="I29" i="10"/>
  <c r="I31" i="10"/>
  <c r="I33" i="10"/>
  <c r="I35" i="10"/>
  <c r="I37" i="10"/>
  <c r="G37" i="10" s="1"/>
  <c r="I23" i="10"/>
  <c r="G23" i="10" s="1"/>
  <c r="I26" i="10"/>
  <c r="I28" i="10"/>
  <c r="I30" i="10"/>
  <c r="I32" i="10"/>
  <c r="I34" i="10"/>
  <c r="I38" i="10"/>
  <c r="G38" i="10" s="1"/>
  <c r="I11" i="10"/>
  <c r="I12" i="10"/>
  <c r="I39" i="10"/>
  <c r="I21" i="10"/>
  <c r="W43" i="10"/>
  <c r="J10" i="10"/>
  <c r="AD33" i="10"/>
  <c r="AE33" i="10" s="1"/>
  <c r="AD12" i="10"/>
  <c r="AE12" i="10" s="1"/>
  <c r="AD11" i="10"/>
  <c r="AE11" i="10" s="1"/>
  <c r="AD17" i="10"/>
  <c r="AE17" i="10" s="1"/>
  <c r="AD13" i="10"/>
  <c r="AD9" i="10"/>
  <c r="AE9" i="10" s="1"/>
  <c r="AD8" i="10"/>
  <c r="AE8" i="10" s="1"/>
  <c r="E45" i="10" l="1"/>
  <c r="D18" i="10"/>
  <c r="H37" i="10"/>
  <c r="H17" i="10"/>
  <c r="H38" i="10"/>
  <c r="H23" i="10"/>
  <c r="G12" i="10"/>
  <c r="G21" i="10"/>
  <c r="H21" i="10" s="1"/>
  <c r="I43" i="10"/>
  <c r="G11" i="10"/>
  <c r="I10" i="10"/>
  <c r="I18" i="10" s="1"/>
  <c r="AE13" i="10"/>
  <c r="AD10" i="10"/>
  <c r="AE10" i="10" s="1"/>
  <c r="H12" i="10" l="1"/>
  <c r="H11" i="10"/>
  <c r="G10" i="10"/>
  <c r="G22" i="10"/>
  <c r="G34" i="10"/>
  <c r="H34" i="10" l="1"/>
  <c r="H10" i="10"/>
  <c r="H22" i="10"/>
  <c r="I45" i="10"/>
  <c r="G18" i="10"/>
  <c r="J36" i="10"/>
  <c r="G36" i="10"/>
  <c r="J26" i="10"/>
  <c r="G26" i="10"/>
  <c r="J42" i="10"/>
  <c r="G42" i="10"/>
  <c r="J25" i="10"/>
  <c r="G25" i="10"/>
  <c r="J35" i="10"/>
  <c r="G35" i="10"/>
  <c r="J33" i="10"/>
  <c r="G33" i="10"/>
  <c r="J11" i="10"/>
  <c r="J27" i="10"/>
  <c r="G27" i="10"/>
  <c r="J34" i="10"/>
  <c r="J31" i="10"/>
  <c r="G31" i="10"/>
  <c r="J40" i="10"/>
  <c r="G40" i="10"/>
  <c r="J32" i="10"/>
  <c r="G32" i="10"/>
  <c r="J24" i="10"/>
  <c r="G24" i="10"/>
  <c r="L22" i="10"/>
  <c r="J22" i="10"/>
  <c r="L14" i="10"/>
  <c r="J14" i="10"/>
  <c r="L27" i="10"/>
  <c r="L34" i="10"/>
  <c r="L31" i="10"/>
  <c r="L40" i="10"/>
  <c r="L35" i="10"/>
  <c r="L33" i="10"/>
  <c r="L11" i="10"/>
  <c r="L36" i="10"/>
  <c r="L26" i="10"/>
  <c r="L42" i="10"/>
  <c r="L25" i="10"/>
  <c r="L32" i="10"/>
  <c r="L24" i="10"/>
  <c r="H27" i="10" l="1"/>
  <c r="H24" i="10"/>
  <c r="H32" i="10"/>
  <c r="H40" i="10"/>
  <c r="H31" i="10"/>
  <c r="H33" i="10"/>
  <c r="H35" i="10"/>
  <c r="H25" i="10"/>
  <c r="H42" i="10"/>
  <c r="H26" i="10"/>
  <c r="H36" i="10"/>
  <c r="J30" i="10"/>
  <c r="G30" i="10"/>
  <c r="J28" i="10"/>
  <c r="G28" i="10"/>
  <c r="J17" i="10"/>
  <c r="J39" i="10"/>
  <c r="G39" i="10"/>
  <c r="J29" i="10"/>
  <c r="G29" i="10"/>
  <c r="J13" i="10"/>
  <c r="L30" i="10"/>
  <c r="L28" i="10"/>
  <c r="L39" i="10"/>
  <c r="L29" i="10"/>
  <c r="L13" i="10"/>
  <c r="L17" i="10"/>
  <c r="H29" i="10" l="1"/>
  <c r="H39" i="10"/>
  <c r="H28" i="10"/>
  <c r="H30" i="10"/>
  <c r="G43" i="10"/>
  <c r="L43" i="10"/>
  <c r="I46" i="3"/>
  <c r="H43" i="10" l="1"/>
  <c r="D45" i="10"/>
  <c r="H18" i="10" l="1"/>
  <c r="H45" i="10" s="1"/>
  <c r="AD18" i="10"/>
  <c r="AD45" i="10" l="1"/>
  <c r="AE45" i="10" s="1"/>
  <c r="AD23" i="10"/>
  <c r="AE23" i="10" s="1"/>
  <c r="AD22" i="10"/>
  <c r="AE22" i="10" s="1"/>
  <c r="AD24" i="10"/>
  <c r="AE24" i="10" s="1"/>
  <c r="AE25" i="10"/>
  <c r="AD26" i="10"/>
  <c r="AE26" i="10" s="1"/>
  <c r="AD27" i="10"/>
  <c r="AE27" i="10" s="1"/>
  <c r="AD28" i="10"/>
  <c r="AE28" i="10" s="1"/>
  <c r="AD29" i="10"/>
  <c r="AE29" i="10" s="1"/>
  <c r="AD30" i="10"/>
  <c r="AE30" i="10" s="1"/>
  <c r="AD31" i="10"/>
  <c r="AE31" i="10" s="1"/>
  <c r="AD32" i="10"/>
  <c r="AE32" i="10" s="1"/>
  <c r="AD34" i="10"/>
  <c r="AE34" i="10" s="1"/>
  <c r="AD35" i="10"/>
  <c r="AE35" i="10" s="1"/>
  <c r="AD37" i="10"/>
  <c r="AE37" i="10" s="1"/>
  <c r="AD38" i="10"/>
  <c r="AE38" i="10" s="1"/>
  <c r="AD39" i="10"/>
  <c r="AE39" i="10" s="1"/>
  <c r="AD21" i="10"/>
  <c r="AE21" i="10" s="1"/>
  <c r="AD43" i="10" l="1"/>
  <c r="AE43" i="10" s="1"/>
  <c r="AD14" i="10"/>
  <c r="AE14" i="10" s="1"/>
  <c r="AE18" i="10"/>
  <c r="B23" i="3" l="1"/>
  <c r="J9" i="10" l="1"/>
  <c r="L9" i="10"/>
  <c r="L18" i="10" s="1"/>
  <c r="L45" i="10" s="1"/>
  <c r="G45" i="10" l="1"/>
  <c r="C36" i="3" l="1"/>
  <c r="C38" i="3" s="1"/>
  <c r="J45" i="10"/>
  <c r="I43" i="3"/>
  <c r="H187" i="5"/>
  <c r="H194" i="5"/>
  <c r="H225" i="5"/>
  <c r="D5" i="2"/>
  <c r="D23" i="2"/>
  <c r="D27" i="2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D56" i="1" s="1"/>
  <c r="D144" i="1" s="1"/>
  <c r="F42" i="1"/>
  <c r="G42" i="1"/>
  <c r="G56" i="1" s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G143" i="1" s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/>
  <c r="G4" i="6"/>
  <c r="C4" i="6"/>
  <c r="N5" i="6"/>
  <c r="L5" i="6"/>
  <c r="G5" i="6"/>
  <c r="N6" i="6"/>
  <c r="L6" i="6"/>
  <c r="G6" i="6"/>
  <c r="N7" i="6"/>
  <c r="L7" i="6"/>
  <c r="G7" i="6"/>
  <c r="H7" i="6"/>
  <c r="N8" i="6"/>
  <c r="L8" i="6"/>
  <c r="G8" i="6"/>
  <c r="C8" i="6"/>
  <c r="N9" i="6"/>
  <c r="L9" i="6"/>
  <c r="G9" i="6"/>
  <c r="N10" i="6"/>
  <c r="L10" i="6"/>
  <c r="G10" i="6"/>
  <c r="N11" i="6"/>
  <c r="L11" i="6"/>
  <c r="G11" i="6"/>
  <c r="N12" i="6"/>
  <c r="L12" i="6"/>
  <c r="G12" i="6"/>
  <c r="N13" i="6"/>
  <c r="L13" i="6"/>
  <c r="G13" i="6"/>
  <c r="N14" i="6"/>
  <c r="L14" i="6"/>
  <c r="G14" i="6"/>
  <c r="F15" i="6"/>
  <c r="J15" i="6"/>
  <c r="N15" i="6"/>
  <c r="L15" i="6"/>
  <c r="N16" i="6"/>
  <c r="L16" i="6"/>
  <c r="N17" i="6"/>
  <c r="L17" i="6"/>
  <c r="N18" i="6"/>
  <c r="L18" i="6"/>
  <c r="N19" i="6"/>
  <c r="L19" i="6"/>
  <c r="G19" i="6"/>
  <c r="N20" i="6"/>
  <c r="L20" i="6"/>
  <c r="G20" i="6"/>
  <c r="I20" i="6"/>
  <c r="N21" i="6"/>
  <c r="L21" i="6"/>
  <c r="G21" i="6"/>
  <c r="H21" i="6"/>
  <c r="N22" i="6"/>
  <c r="L22" i="6"/>
  <c r="G22" i="6"/>
  <c r="N23" i="6"/>
  <c r="L23" i="6"/>
  <c r="G23" i="6"/>
  <c r="N24" i="6"/>
  <c r="L24" i="6"/>
  <c r="G24" i="6"/>
  <c r="H24" i="6"/>
  <c r="N25" i="6"/>
  <c r="L25" i="6"/>
  <c r="G25" i="6"/>
  <c r="N26" i="6"/>
  <c r="L26" i="6"/>
  <c r="G26" i="6"/>
  <c r="C26" i="6"/>
  <c r="N27" i="6"/>
  <c r="L27" i="6"/>
  <c r="G27" i="6"/>
  <c r="N28" i="6"/>
  <c r="L28" i="6"/>
  <c r="G28" i="6"/>
  <c r="N29" i="6"/>
  <c r="L29" i="6"/>
  <c r="G29" i="6"/>
  <c r="I29" i="6"/>
  <c r="N30" i="6"/>
  <c r="L30" i="6"/>
  <c r="G30" i="6"/>
  <c r="M31" i="6"/>
  <c r="N31" i="6"/>
  <c r="L31" i="6"/>
  <c r="G31" i="6"/>
  <c r="H31" i="6"/>
  <c r="N32" i="6"/>
  <c r="L32" i="6"/>
  <c r="G32" i="6"/>
  <c r="N33" i="6"/>
  <c r="L33" i="6"/>
  <c r="G33" i="6"/>
  <c r="N34" i="6"/>
  <c r="L34" i="6"/>
  <c r="G34" i="6"/>
  <c r="N35" i="6"/>
  <c r="L35" i="6"/>
  <c r="G35" i="6"/>
  <c r="N36" i="6"/>
  <c r="L36" i="6"/>
  <c r="G36" i="6"/>
  <c r="N37" i="6"/>
  <c r="L37" i="6"/>
  <c r="G37" i="6"/>
  <c r="N38" i="6"/>
  <c r="L38" i="6"/>
  <c r="G38" i="6"/>
  <c r="N39" i="6"/>
  <c r="L39" i="6"/>
  <c r="G39" i="6"/>
  <c r="C39" i="6"/>
  <c r="N40" i="6"/>
  <c r="L40" i="6"/>
  <c r="G40" i="6"/>
  <c r="N41" i="6"/>
  <c r="L41" i="6"/>
  <c r="G41" i="6"/>
  <c r="N42" i="6"/>
  <c r="L42" i="6"/>
  <c r="G42" i="6"/>
  <c r="I42" i="6"/>
  <c r="N43" i="6"/>
  <c r="L43" i="6"/>
  <c r="G43" i="6"/>
  <c r="H43" i="6"/>
  <c r="N44" i="6"/>
  <c r="L44" i="6"/>
  <c r="G44" i="6"/>
  <c r="N45" i="6"/>
  <c r="L45" i="6"/>
  <c r="G45" i="6"/>
  <c r="N46" i="6"/>
  <c r="L46" i="6"/>
  <c r="G46" i="6"/>
  <c r="N47" i="6"/>
  <c r="L47" i="6"/>
  <c r="G47" i="6"/>
  <c r="N48" i="6"/>
  <c r="L48" i="6"/>
  <c r="G48" i="6"/>
  <c r="F49" i="6"/>
  <c r="J49" i="6"/>
  <c r="J51" i="6"/>
  <c r="M49" i="6"/>
  <c r="N53" i="6"/>
  <c r="N55" i="6"/>
  <c r="N4" i="9"/>
  <c r="L4" i="9"/>
  <c r="G4" i="9"/>
  <c r="N5" i="9"/>
  <c r="L5" i="9"/>
  <c r="G5" i="9"/>
  <c r="H5" i="9"/>
  <c r="N6" i="9"/>
  <c r="L6" i="9"/>
  <c r="G6" i="9"/>
  <c r="H6" i="9"/>
  <c r="N7" i="9"/>
  <c r="L7" i="9"/>
  <c r="G7" i="9"/>
  <c r="N8" i="9"/>
  <c r="L8" i="9"/>
  <c r="G8" i="9"/>
  <c r="C8" i="9"/>
  <c r="N9" i="9"/>
  <c r="L9" i="9"/>
  <c r="G9" i="9"/>
  <c r="N10" i="9"/>
  <c r="L10" i="9"/>
  <c r="G10" i="9"/>
  <c r="N11" i="9"/>
  <c r="L11" i="9"/>
  <c r="G11" i="9"/>
  <c r="C11" i="9"/>
  <c r="N12" i="9"/>
  <c r="L12" i="9"/>
  <c r="G12" i="9"/>
  <c r="N13" i="9"/>
  <c r="L13" i="9"/>
  <c r="G13" i="9"/>
  <c r="N14" i="9"/>
  <c r="L14" i="9"/>
  <c r="G14" i="9"/>
  <c r="F15" i="9"/>
  <c r="J15" i="9"/>
  <c r="N15" i="9"/>
  <c r="L15" i="9"/>
  <c r="N16" i="9"/>
  <c r="L16" i="9"/>
  <c r="N17" i="9"/>
  <c r="L17" i="9"/>
  <c r="N18" i="9"/>
  <c r="L18" i="9"/>
  <c r="N19" i="9"/>
  <c r="L19" i="9"/>
  <c r="G19" i="9"/>
  <c r="N20" i="9"/>
  <c r="L20" i="9"/>
  <c r="G20" i="9"/>
  <c r="H20" i="9"/>
  <c r="N21" i="9"/>
  <c r="L21" i="9"/>
  <c r="G21" i="9"/>
  <c r="I21" i="9"/>
  <c r="N22" i="9"/>
  <c r="L22" i="9"/>
  <c r="G22" i="9"/>
  <c r="C22" i="9"/>
  <c r="N23" i="9"/>
  <c r="L23" i="9"/>
  <c r="G23" i="9"/>
  <c r="N24" i="9"/>
  <c r="L24" i="9"/>
  <c r="G24" i="9"/>
  <c r="C24" i="9"/>
  <c r="N25" i="9"/>
  <c r="L25" i="9"/>
  <c r="G25" i="9"/>
  <c r="I25" i="9"/>
  <c r="N26" i="9"/>
  <c r="L26" i="9"/>
  <c r="G26" i="9"/>
  <c r="N27" i="9"/>
  <c r="L27" i="9"/>
  <c r="G27" i="9"/>
  <c r="C28" i="9"/>
  <c r="H28" i="9"/>
  <c r="I28" i="9"/>
  <c r="N28" i="9"/>
  <c r="L28" i="9"/>
  <c r="N29" i="9"/>
  <c r="L29" i="9"/>
  <c r="G29" i="9"/>
  <c r="N30" i="9"/>
  <c r="L30" i="9"/>
  <c r="G30" i="9"/>
  <c r="I30" i="9"/>
  <c r="M31" i="9"/>
  <c r="M49" i="9"/>
  <c r="N31" i="9"/>
  <c r="L31" i="9"/>
  <c r="G31" i="9"/>
  <c r="N32" i="9"/>
  <c r="L32" i="9"/>
  <c r="G32" i="9"/>
  <c r="I32" i="9"/>
  <c r="N33" i="9"/>
  <c r="L33" i="9"/>
  <c r="G33" i="9"/>
  <c r="C34" i="9"/>
  <c r="H34" i="9"/>
  <c r="I34" i="9"/>
  <c r="N34" i="9"/>
  <c r="L34" i="9"/>
  <c r="N35" i="9"/>
  <c r="L35" i="9"/>
  <c r="G35" i="9"/>
  <c r="H35" i="9"/>
  <c r="N36" i="9"/>
  <c r="L36" i="9"/>
  <c r="G36" i="9"/>
  <c r="N37" i="9"/>
  <c r="L37" i="9"/>
  <c r="G37" i="9"/>
  <c r="N38" i="9"/>
  <c r="L38" i="9"/>
  <c r="G38" i="9"/>
  <c r="N39" i="9"/>
  <c r="L39" i="9"/>
  <c r="G39" i="9"/>
  <c r="N40" i="9"/>
  <c r="L40" i="9"/>
  <c r="G40" i="9"/>
  <c r="N41" i="9"/>
  <c r="L41" i="9"/>
  <c r="G41" i="9"/>
  <c r="N42" i="9"/>
  <c r="L42" i="9"/>
  <c r="G42" i="9"/>
  <c r="N43" i="9"/>
  <c r="L43" i="9"/>
  <c r="G43" i="9"/>
  <c r="N44" i="9"/>
  <c r="L44" i="9"/>
  <c r="G44" i="9"/>
  <c r="C44" i="9"/>
  <c r="N45" i="9"/>
  <c r="L45" i="9"/>
  <c r="G45" i="9"/>
  <c r="N46" i="9"/>
  <c r="L46" i="9"/>
  <c r="G46" i="9"/>
  <c r="N47" i="9"/>
  <c r="L47" i="9"/>
  <c r="G47" i="9"/>
  <c r="N48" i="9"/>
  <c r="L48" i="9"/>
  <c r="G48" i="9"/>
  <c r="F49" i="9"/>
  <c r="J49" i="9"/>
  <c r="J51" i="9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/>
  <c r="N56" i="6"/>
  <c r="I11" i="6"/>
  <c r="H25" i="6"/>
  <c r="I6" i="9"/>
  <c r="C6" i="9"/>
  <c r="G15" i="9"/>
  <c r="I23" i="6"/>
  <c r="I7" i="6"/>
  <c r="C7" i="6"/>
  <c r="H4" i="6"/>
  <c r="H15" i="6"/>
  <c r="I4" i="6"/>
  <c r="G15" i="6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/>
  <c r="G51" i="6"/>
  <c r="G53" i="6"/>
  <c r="N54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C31" i="9"/>
  <c r="H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H51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H51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4" i="1" l="1"/>
  <c r="F3" i="13"/>
  <c r="D13" i="13"/>
  <c r="D3" i="13" s="1"/>
  <c r="B21" i="3" l="1"/>
  <c r="B25" i="3" s="1"/>
  <c r="C28" i="3" s="1"/>
  <c r="C30" i="3" s="1"/>
  <c r="C42" i="3" s="1"/>
  <c r="D115" i="13"/>
  <c r="J43" i="10" l="1"/>
</calcChain>
</file>

<file path=xl/comments1.xml><?xml version="1.0" encoding="utf-8"?>
<comments xmlns="http://schemas.openxmlformats.org/spreadsheetml/2006/main">
  <authors>
    <author>Anna Mizerska</author>
  </authors>
  <commentList>
    <comment ref="D21" authorId="0">
      <text>
        <r>
          <rPr>
            <b/>
            <sz val="8"/>
            <color indexed="81"/>
            <rFont val="Tahoma"/>
            <charset val="1"/>
          </rPr>
          <t>Anna Mizerska:</t>
        </r>
        <r>
          <rPr>
            <sz val="8"/>
            <color indexed="81"/>
            <rFont val="Tahoma"/>
            <charset val="1"/>
          </rPr>
          <t xml:space="preserve">
2 months - March and April
</t>
        </r>
      </text>
    </comment>
    <comment ref="D29" authorId="0">
      <text>
        <r>
          <rPr>
            <b/>
            <sz val="8"/>
            <color indexed="81"/>
            <rFont val="Tahoma"/>
            <charset val="1"/>
          </rPr>
          <t>Anna Mizerska:</t>
        </r>
        <r>
          <rPr>
            <sz val="8"/>
            <color indexed="81"/>
            <rFont val="Tahoma"/>
            <charset val="1"/>
          </rPr>
          <t xml:space="preserve">
April cost £1500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Moderation Dac Maunder est monthly cost £6237.46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Teete inv £4858.10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Monthly cost est £5706.66
</t>
        </r>
      </text>
    </comment>
    <comment ref="D35" authorId="0">
      <text>
        <r>
          <rPr>
            <b/>
            <sz val="8"/>
            <color indexed="81"/>
            <rFont val="Tahoma"/>
            <charset val="1"/>
          </rPr>
          <t>Anna Mizerska:</t>
        </r>
        <r>
          <rPr>
            <sz val="8"/>
            <color indexed="81"/>
            <rFont val="Tahoma"/>
            <charset val="1"/>
          </rPr>
          <t xml:space="preserve">
1 month and 2 weeks
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John Phillips:</t>
        </r>
        <r>
          <rPr>
            <sz val="9"/>
            <color indexed="81"/>
            <rFont val="Tahoma"/>
            <family val="2"/>
          </rPr>
          <t xml:space="preserve">
Rollover adjustment
</t>
        </r>
      </text>
    </comment>
  </commentList>
</comments>
</file>

<file path=xl/sharedStrings.xml><?xml version="1.0" encoding="utf-8"?>
<sst xmlns="http://schemas.openxmlformats.org/spreadsheetml/2006/main" count="2728" uniqueCount="1041">
  <si>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</si>
  <si>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</si>
  <si>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</si>
  <si>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</si>
  <si>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</si>
  <si>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</si>
  <si>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</si>
  <si>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</si>
  <si>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</si>
  <si>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</si>
  <si>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</si>
  <si>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</si>
  <si>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</si>
  <si>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</si>
  <si>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</si>
  <si>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</si>
  <si>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</si>
  <si>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</si>
  <si>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</si>
  <si>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</si>
  <si>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</si>
  <si>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</si>
  <si>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</si>
  <si>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</si>
  <si>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</si>
  <si>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</si>
  <si>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</si>
  <si>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</si>
  <si>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</si>
  <si>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</si>
  <si>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</si>
  <si>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</si>
  <si>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</si>
  <si>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</si>
  <si>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</si>
  <si>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</si>
  <si>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</si>
  <si>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</si>
  <si>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</si>
  <si>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</si>
  <si>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</si>
  <si>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</si>
  <si>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</si>
  <si>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</si>
  <si>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</si>
  <si>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</si>
  <si>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</si>
  <si>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</si>
  <si>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</si>
  <si>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</si>
  <si>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</si>
  <si>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</si>
  <si>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</si>
  <si>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</si>
  <si>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</si>
  <si>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</si>
  <si>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</si>
  <si>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</si>
  <si>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</si>
  <si>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</si>
  <si>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</si>
  <si>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</si>
  <si>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</si>
  <si>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</si>
  <si>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</si>
  <si>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</si>
  <si>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</si>
  <si>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</si>
  <si>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</si>
  <si>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</si>
  <si>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</si>
  <si>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</si>
  <si>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</si>
  <si>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</si>
  <si>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</si>
  <si>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</si>
  <si>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</si>
  <si>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</si>
  <si>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</si>
  <si>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</si>
  <si>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</si>
  <si>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</si>
  <si>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</si>
  <si>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</si>
  <si>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</si>
  <si>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</si>
  <si>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</si>
  <si>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</si>
  <si>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</si>
  <si>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</si>
  <si>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</si>
  <si>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</si>
  <si>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</si>
  <si>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</si>
  <si>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</si>
  <si>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</si>
  <si>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</si>
  <si>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</si>
  <si>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</si>
  <si>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</si>
  <si>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</si>
  <si>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</si>
  <si>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</si>
  <si>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</si>
  <si>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</si>
  <si>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</si>
  <si>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</si>
  <si>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</si>
  <si>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</si>
  <si>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</si>
  <si>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</si>
  <si>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</si>
  <si>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</si>
  <si>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</si>
  <si>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</si>
  <si>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</si>
  <si>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</si>
  <si>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</si>
  <si>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</si>
  <si>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</si>
  <si>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</si>
  <si>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</si>
  <si>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</si>
  <si>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</si>
  <si>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</si>
  <si>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</si>
  <si>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</si>
  <si>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</si>
  <si>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</si>
  <si>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</si>
  <si>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</si>
  <si>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</si>
  <si>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</si>
  <si>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</si>
  <si>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</si>
  <si>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</si>
  <si>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</si>
  <si>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</si>
  <si>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</si>
  <si>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</si>
  <si>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</si>
  <si>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</si>
  <si>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</si>
  <si>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</si>
  <si>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</si>
  <si>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</si>
  <si>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</si>
  <si>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</si>
  <si>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</si>
  <si>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</si>
  <si>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</si>
  <si>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</si>
  <si>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</si>
  <si>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</si>
  <si>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</si>
  <si>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</si>
  <si>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</si>
  <si>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</si>
  <si>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</si>
  <si>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</si>
  <si>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</si>
  <si>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</si>
  <si>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</si>
  <si>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</si>
  <si>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</si>
  <si>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</si>
  <si>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</si>
  <si>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</si>
  <si>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</si>
  <si>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</si>
  <si>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</si>
  <si>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</si>
  <si>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</si>
  <si>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</si>
  <si>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</si>
  <si>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</si>
  <si>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</si>
  <si>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</si>
  <si>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</si>
  <si>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</si>
  <si>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</si>
  <si>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</si>
  <si>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</si>
  <si>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</si>
  <si>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</si>
  <si>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</si>
  <si>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</si>
  <si>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</si>
  <si>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</si>
  <si>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</si>
  <si>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</si>
  <si>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</si>
  <si>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</si>
  <si>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</si>
  <si>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</si>
  <si>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</si>
  <si>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</si>
  <si>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</si>
  <si>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</si>
  <si>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</si>
  <si>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</si>
  <si>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</si>
  <si>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</si>
  <si>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</si>
  <si>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</si>
  <si>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</si>
  <si>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</si>
  <si>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</si>
  <si>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</si>
  <si>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</si>
  <si>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</si>
  <si>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</si>
  <si>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</si>
  <si>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</si>
  <si>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</si>
  <si>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</si>
  <si>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</si>
  <si>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</si>
  <si>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</si>
  <si>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</si>
  <si>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</si>
  <si>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</si>
  <si>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</si>
  <si>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</si>
  <si>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</si>
  <si>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</si>
  <si>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</si>
  <si>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</si>
  <si>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</si>
  <si>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</si>
  <si>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</si>
  <si>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</si>
  <si>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</si>
  <si>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</si>
  <si>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</si>
  <si>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</si>
  <si>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</si>
  <si>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</si>
  <si>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</si>
  <si>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</si>
  <si>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</si>
  <si>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</si>
  <si>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</si>
  <si>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</si>
  <si>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</si>
  <si>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</si>
  <si>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</si>
  <si>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</si>
  <si>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</si>
  <si>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</si>
  <si>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</si>
  <si>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</si>
  <si>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</si>
  <si>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</si>
  <si>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</si>
  <si>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</si>
  <si>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</si>
  <si>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</si>
  <si>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</si>
  <si>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</si>
  <si>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</si>
  <si>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</si>
  <si>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</si>
  <si>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</si>
  <si>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</si>
  <si>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</si>
  <si>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</si>
  <si>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</si>
  <si>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</si>
  <si>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</si>
  <si>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</si>
  <si>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</si>
  <si>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</si>
  <si>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</si>
  <si>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</si>
  <si>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</si>
  <si>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</si>
  <si>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</si>
  <si>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</si>
  <si>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</si>
  <si>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</si>
  <si>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</si>
  <si>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</si>
  <si>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</si>
  <si>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</si>
  <si>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</si>
  <si>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</si>
  <si>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</si>
  <si>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</si>
  <si>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</si>
  <si>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</si>
  <si>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</si>
  <si>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</si>
  <si>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</si>
  <si>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</si>
  <si>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</si>
  <si>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</si>
  <si>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</si>
  <si>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</si>
  <si>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</si>
  <si>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</si>
  <si>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</si>
  <si>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</si>
  <si>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</si>
  <si>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</si>
  <si>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</si>
  <si>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</si>
  <si>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</si>
  <si>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</si>
  <si>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</si>
  <si>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</si>
  <si>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</si>
  <si>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</si>
  <si>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</si>
  <si>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</si>
  <si>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</si>
  <si>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</si>
  <si>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</si>
  <si>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</si>
  <si>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</si>
  <si>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</si>
  <si>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</si>
  <si>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</si>
  <si>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</si>
  <si>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</si>
  <si>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</si>
  <si>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</si>
  <si>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</si>
  <si>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</si>
  <si>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</si>
  <si>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</si>
  <si>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</si>
  <si>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</si>
  <si>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</si>
  <si>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</si>
  <si>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</si>
  <si>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</si>
  <si>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</si>
  <si>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</si>
  <si>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</si>
  <si>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</si>
  <si>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</si>
  <si>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</si>
  <si>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</si>
  <si>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</si>
  <si>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</si>
  <si>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</si>
  <si>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</si>
  <si>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</si>
  <si>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</si>
  <si>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</si>
  <si>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</si>
  <si>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</si>
  <si>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</si>
  <si>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</si>
  <si>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</si>
  <si>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</si>
  <si>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</si>
  <si>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</si>
  <si>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</si>
  <si>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</si>
  <si>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</si>
  <si>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</si>
  <si>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</si>
  <si>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</si>
  <si>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</si>
  <si>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</si>
  <si>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</si>
  <si>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</si>
  <si>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</si>
  <si>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</si>
  <si>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</si>
  <si>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</si>
  <si>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</si>
  <si>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</si>
  <si>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</si>
  <si>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</si>
  <si>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</si>
  <si>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</si>
  <si>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</si>
  <si>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</si>
  <si>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</si>
  <si>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</si>
  <si>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</si>
  <si>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</si>
  <si>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</si>
  <si>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</si>
  <si>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</si>
  <si>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</si>
  <si>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</si>
  <si>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</si>
  <si>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</si>
  <si>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</si>
  <si>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</si>
  <si>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</si>
  <si>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</si>
  <si>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</si>
  <si>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</si>
  <si>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</si>
  <si>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</si>
  <si>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</si>
  <si>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</si>
  <si>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</si>
  <si>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</si>
  <si>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</si>
  <si>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</si>
  <si>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</si>
  <si>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</si>
  <si>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</si>
  <si>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</si>
  <si>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</si>
  <si>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</si>
  <si>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</si>
  <si>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</si>
  <si>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</si>
  <si>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</si>
  <si>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</si>
  <si>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</si>
  <si>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</si>
  <si>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</si>
  <si>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</si>
  <si>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</si>
  <si>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</si>
  <si>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</si>
  <si>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</si>
  <si>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</si>
  <si>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</si>
  <si>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</si>
  <si>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</si>
  <si>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</si>
  <si>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</si>
  <si>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</si>
  <si>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</si>
  <si>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</si>
  <si>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</si>
  <si>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</si>
  <si>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</si>
  <si>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</si>
  <si>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</si>
  <si>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</si>
  <si>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</si>
  <si>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</si>
  <si>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</si>
  <si>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</si>
  <si>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</si>
  <si>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</si>
  <si>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</si>
  <si>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</si>
  <si>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</si>
  <si>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</si>
  <si>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</si>
  <si>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</si>
  <si>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</si>
  <si>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</si>
  <si>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</si>
  <si>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</si>
  <si>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</si>
  <si>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</si>
  <si>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</si>
  <si>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</si>
  <si>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</si>
  <si>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</si>
  <si>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</si>
  <si>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</si>
  <si>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</si>
  <si>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</si>
  <si>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</si>
  <si>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</si>
  <si>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</si>
  <si>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</si>
  <si>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</si>
  <si>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</si>
  <si>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</si>
  <si>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</si>
  <si>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</si>
  <si>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</si>
  <si>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</si>
  <si>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</si>
  <si>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</si>
  <si>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</si>
  <si>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</si>
  <si>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</si>
  <si>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</si>
  <si>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</si>
  <si>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</si>
  <si>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</si>
  <si>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</si>
  <si>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</si>
  <si>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</si>
  <si>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</si>
  <si>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</si>
  <si>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</si>
  <si>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</si>
  <si>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</si>
  <si>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</si>
  <si>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</si>
  <si>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</si>
  <si>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</si>
  <si>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</si>
  <si>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</si>
  <si>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</si>
  <si>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</si>
  <si>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</si>
  <si>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</si>
  <si>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</si>
  <si>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</si>
  <si>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</si>
  <si>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</si>
  <si>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</si>
  <si>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</si>
  <si>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</si>
  <si>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</si>
  <si>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</si>
  <si>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</si>
  <si>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</si>
  <si>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</si>
  <si>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</si>
  <si>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</si>
  <si>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</si>
  <si>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</si>
  <si>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</si>
  <si>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</si>
  <si>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</si>
  <si>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</si>
  <si>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</si>
  <si>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</si>
  <si>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</si>
  <si>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</si>
  <si>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</si>
  <si>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</si>
  <si>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</si>
  <si>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</si>
  <si>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</si>
  <si>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</si>
  <si>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</si>
  <si>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</si>
  <si>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</si>
  <si>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</si>
  <si>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</si>
  <si>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</si>
  <si>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</si>
  <si>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</si>
  <si>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</si>
  <si>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</si>
  <si>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</si>
  <si>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</si>
  <si>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</si>
  <si>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</si>
  <si>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</si>
  <si>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</si>
  <si>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</si>
  <si>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</si>
  <si>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</si>
  <si>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</si>
  <si>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</si>
  <si>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</si>
  <si>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</si>
  <si>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</si>
  <si>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</si>
  <si>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</si>
  <si>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</si>
  <si>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</si>
  <si>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</si>
  <si>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</si>
  <si>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</si>
  <si>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</si>
  <si>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</si>
  <si>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</si>
  <si>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</si>
  <si>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</si>
  <si>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</si>
  <si>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</si>
  <si>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</si>
  <si>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</si>
  <si>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</si>
  <si>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</si>
  <si>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</si>
  <si>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</si>
  <si>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</si>
  <si>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</si>
  <si>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</si>
  <si>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</si>
  <si>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</si>
  <si>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</si>
  <si>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</si>
  <si>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</si>
  <si>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</si>
  <si>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</si>
  <si>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</si>
  <si>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</si>
  <si>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</si>
  <si>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</si>
  <si>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</si>
  <si>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</si>
  <si>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</si>
  <si>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</si>
  <si>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</si>
  <si>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</si>
  <si>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</si>
  <si>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</si>
  <si>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</si>
  <si>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</si>
  <si>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</si>
  <si>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</si>
  <si>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</si>
  <si>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</si>
  <si>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</si>
  <si>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</si>
  <si>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</si>
  <si>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</si>
  <si>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</si>
  <si>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</si>
  <si>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</si>
  <si>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</si>
  <si>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</si>
  <si>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</si>
  <si>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</si>
  <si>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</si>
  <si>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</si>
  <si>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</si>
  <si>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</si>
  <si>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</si>
  <si>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</si>
  <si>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</si>
  <si>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</si>
  <si>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</si>
  <si>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</si>
  <si>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</si>
  <si>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</si>
  <si>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</si>
  <si>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</si>
  <si>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</si>
  <si>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</si>
  <si>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</si>
  <si>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</si>
  <si>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</si>
  <si>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</si>
  <si>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</si>
  <si>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</si>
  <si>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</si>
  <si>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</si>
  <si>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</si>
  <si>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</si>
  <si>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</si>
  <si>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</si>
  <si>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</si>
  <si>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</si>
  <si>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</si>
  <si>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</si>
  <si>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</si>
  <si>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</si>
  <si>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</si>
  <si>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</si>
  <si>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</si>
  <si>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</si>
  <si>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</si>
  <si>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</si>
  <si>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</si>
  <si>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</si>
  <si>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</si>
  <si>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</si>
  <si>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</si>
  <si>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</si>
  <si>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</si>
  <si>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</si>
  <si>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</si>
  <si>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</si>
  <si>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</si>
  <si>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</si>
  <si>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</si>
  <si>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</si>
  <si>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</si>
  <si>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</si>
  <si>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</si>
  <si>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</si>
  <si>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</si>
  <si>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</si>
  <si>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</si>
  <si>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</si>
  <si>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</si>
  <si>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</si>
  <si>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</si>
  <si>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</si>
  <si>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</si>
  <si>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</si>
  <si>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</si>
  <si>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</si>
  <si>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</si>
  <si>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</si>
  <si>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</si>
  <si>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</si>
  <si>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</si>
  <si>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</si>
  <si>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</si>
  <si>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</si>
  <si>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</si>
  <si>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</si>
  <si>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</si>
  <si>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</si>
  <si>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</si>
  <si>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</si>
  <si>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</si>
  <si>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</si>
  <si>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</si>
  <si>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</si>
  <si>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</si>
  <si>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</si>
  <si>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</si>
  <si>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</si>
  <si>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</si>
  <si>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</si>
  <si>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</si>
  <si>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</si>
  <si>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</si>
  <si>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</si>
  <si>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</si>
  <si>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</si>
  <si>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</si>
  <si>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</si>
  <si>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</si>
  <si>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</si>
  <si>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</si>
  <si>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</si>
  <si>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</si>
  <si>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</si>
  <si>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</si>
  <si>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</si>
  <si>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</si>
  <si>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</si>
  <si>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</si>
  <si>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</si>
  <si>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</si>
  <si>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</si>
  <si>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</si>
  <si>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</si>
  <si>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</si>
  <si>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</si>
  <si>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</si>
  <si>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</si>
  <si>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</si>
  <si>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</si>
  <si>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</si>
  <si>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</si>
  <si>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</si>
  <si>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</si>
  <si>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</si>
  <si>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</si>
  <si>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</si>
  <si>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</si>
  <si>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</si>
  <si>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</si>
  <si>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</si>
  <si>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</si>
  <si>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</si>
  <si>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</si>
  <si>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</si>
  <si>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</si>
  <si>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</si>
  <si>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</si>
  <si>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</si>
  <si>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</si>
  <si>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</si>
  <si>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</si>
  <si>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</si>
  <si>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</si>
  <si>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</si>
  <si>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</si>
  <si>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</si>
  <si>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</si>
  <si>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</si>
  <si>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</si>
  <si>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</si>
  <si>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</si>
  <si>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</si>
  <si>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</si>
  <si>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</si>
  <si>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</si>
  <si>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</si>
  <si>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</si>
  <si>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</si>
  <si>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</si>
  <si>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</si>
  <si>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</si>
  <si>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</si>
  <si>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</si>
  <si>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</si>
  <si>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</si>
  <si>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</si>
  <si>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</si>
  <si>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</si>
  <si>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</si>
  <si>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</si>
  <si>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</si>
  <si>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</si>
  <si>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</si>
  <si>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</si>
  <si>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</si>
  <si>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</si>
  <si>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</si>
  <si>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</si>
  <si>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</si>
  <si>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</si>
  <si>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</si>
  <si>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</si>
  <si>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</si>
  <si>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</si>
  <si>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</si>
  <si>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</si>
  <si>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</si>
  <si>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</si>
  <si>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</si>
  <si>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</si>
  <si>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</si>
  <si>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</si>
  <si>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</si>
  <si>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</si>
  <si>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</si>
  <si>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</si>
  <si>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</si>
  <si>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</si>
  <si>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</si>
  <si>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</si>
  <si>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</si>
  <si>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</si>
  <si>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</si>
  <si>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</si>
  <si>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</si>
  <si>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</si>
  <si>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</si>
  <si>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</si>
  <si>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</si>
  <si>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</si>
  <si>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</si>
  <si>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</si>
  <si>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</si>
  <si>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</si>
  <si>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</si>
  <si>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</si>
  <si>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</si>
  <si>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</si>
  <si>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</si>
  <si>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</si>
  <si>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</si>
  <si>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</si>
  <si>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</si>
  <si>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</si>
  <si>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</si>
  <si>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</si>
  <si>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</si>
  <si>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</si>
  <si>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</si>
  <si>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</si>
  <si>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</si>
  <si>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</si>
  <si>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</si>
  <si>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</si>
  <si>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</si>
  <si>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</si>
  <si>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</si>
  <si>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</si>
  <si>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</si>
  <si>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</si>
  <si>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</si>
  <si>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</si>
  <si>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</si>
  <si>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</si>
  <si>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</si>
  <si>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</si>
  <si>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</si>
  <si>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</si>
  <si>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</si>
  <si>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</si>
  <si>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</si>
  <si>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</si>
  <si>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</si>
  <si>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</si>
  <si>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</si>
  <si>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</si>
  <si>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</si>
  <si>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</si>
  <si>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</si>
  <si>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</si>
  <si>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</si>
  <si>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</si>
  <si>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</si>
  <si>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</si>
  <si>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</si>
  <si>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</si>
  <si>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</si>
  <si>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</si>
  <si>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</si>
  <si>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</si>
  <si>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</si>
  <si>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</si>
  <si>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</si>
  <si>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</si>
  <si>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</si>
  <si>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</si>
  <si>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</si>
  <si>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</si>
  <si>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</si>
  <si>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</si>
  <si>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</si>
  <si>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</si>
  <si>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</si>
  <si>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</si>
  <si>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</si>
  <si>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</si>
  <si>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</si>
  <si>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</si>
  <si>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</si>
  <si>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</si>
  <si>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</si>
  <si>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</si>
  <si>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</si>
  <si>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</si>
  <si>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</si>
  <si>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</si>
  <si>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</si>
  <si>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</si>
  <si>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</si>
  <si>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</si>
  <si>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</si>
  <si>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</si>
  <si>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</si>
  <si>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</si>
  <si>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</si>
  <si>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</si>
  <si>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</si>
  <si>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</si>
  <si>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</si>
  <si>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</si>
  <si>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</si>
  <si>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</si>
  <si>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</si>
  <si>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</si>
  <si>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</si>
  <si>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</si>
  <si>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</si>
  <si>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</si>
  <si>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</si>
  <si>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</si>
  <si>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</si>
  <si>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</si>
  <si>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</si>
  <si>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</si>
  <si>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</si>
  <si>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</si>
  <si>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</si>
  <si>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</si>
  <si>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</si>
  <si>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</si>
  <si>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</si>
  <si>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</si>
  <si>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</si>
  <si>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</si>
  <si>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</si>
  <si>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</si>
  <si>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</si>
  <si>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</si>
  <si>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</si>
  <si>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</si>
  <si>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</si>
  <si>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 xml:space="preserve">CILT Professional Study Tour 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</si>
  <si>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</si>
  <si>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</si>
  <si>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</si>
  <si>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</si>
  <si>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</si>
  <si>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</si>
  <si>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</si>
  <si>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</si>
  <si>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</si>
  <si>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</si>
  <si>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</si>
  <si>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</si>
  <si>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</si>
  <si>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</si>
  <si>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</si>
  <si>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</si>
  <si>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</si>
  <si>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</si>
  <si>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</si>
  <si>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</si>
  <si>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</si>
  <si>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</si>
  <si>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Costs 2015</t>
  </si>
  <si>
    <t>Variance to Budget</t>
  </si>
  <si>
    <t>Full Year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</si>
  <si>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</si>
  <si>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</si>
  <si>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</si>
  <si>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</si>
  <si>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</si>
  <si>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</si>
  <si>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</si>
  <si>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</si>
  <si>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</si>
  <si>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</si>
  <si>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>Unrecoverable VAT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</si>
  <si>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</si>
  <si>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</si>
  <si>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</si>
  <si>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</si>
  <si>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</si>
  <si>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</si>
  <si>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</si>
  <si>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</si>
  <si>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</si>
  <si>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</si>
  <si>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Change date in cell B3 to update "To Date" budget</t>
  </si>
  <si>
    <t>Check Sums</t>
  </si>
  <si>
    <t>TB w/ADJUSTMENTS</t>
  </si>
  <si>
    <t>%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</si>
  <si>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</si>
  <si>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</si>
  <si>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</si>
  <si>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</si>
  <si>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</si>
  <si>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</si>
  <si>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</si>
  <si>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</si>
  <si>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</si>
  <si>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</si>
  <si>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</si>
  <si>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</si>
  <si>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</si>
  <si>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VAT</t>
  </si>
  <si>
    <t>April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</si>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</sst>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#,##0.0000"/>
    <numFmt numFmtId="171" formatCode="\ #,##0_);[Red]\(#,##0\);\ &quot;-&quot;_);_-@_-"/>
    <numFmt numFmtId="172" formatCode="_-* #,##0_-;\-* #,##0_-;_-* &quot;-&quot;??_-;_-@_-"/>
    <numFmt numFmtId="173" formatCode="\ #,##0.00_);[Red]\(#,##0.00\);\ &quot;-&quot;_);_-@_-"/>
    <numFmt numFmtId="174" formatCode="_(\ #,##0.00_);\(* #,##0.00\);\ &quot;-&quot;_);_-@_-"/>
    <numFmt numFmtId="175" formatCode="mmmm\ yyyy"/>
    <numFmt numFmtId="176" formatCode="&quot;£&quot;#,##0.00;\(&quot;£&quot;#,##0.00\)"/>
    <numFmt numFmtId="177" formatCode="\ #,##0_);[Red]\(* #,##0\);\ &quot;-&quot;_);_-@_-"/>
    <numFmt numFmtId="178" formatCode="#,##0.00;[Red]\(#,##0.00\)"/>
  </numFmts>
  <fonts count="2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8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theme="9" tint="0.79995117038483843"/>
      </patternFill>
    </fill>
    <fill>
      <patternFill patternType="darkDown">
        <fgColor theme="0"/>
        <bgColor rgb="FFFFFFCC"/>
      </patternFill>
    </fill>
    <fill>
      <patternFill patternType="darkDown">
        <fgColor theme="0"/>
        <bgColor theme="9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43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0" fontId="0" fillId="0" borderId="0" xfId="0" applyNumberFormat="1"/>
    <xf numFmtId="170" fontId="153" fillId="0" borderId="0" xfId="0" applyNumberFormat="1" applyFont="1" applyFill="1" applyBorder="1"/>
    <xf numFmtId="43" fontId="0" fillId="0" borderId="0" xfId="11177" applyFont="1" applyFill="1"/>
    <xf numFmtId="2" fontId="186" fillId="0" borderId="0" xfId="0" applyNumberFormat="1" applyFont="1"/>
    <xf numFmtId="0" fontId="184" fillId="0" borderId="0" xfId="0" applyFont="1"/>
    <xf numFmtId="0" fontId="186" fillId="0" borderId="0" xfId="0" applyFont="1"/>
    <xf numFmtId="1" fontId="186" fillId="0" borderId="0" xfId="0" applyNumberFormat="1" applyFont="1"/>
    <xf numFmtId="164" fontId="187" fillId="0" borderId="0" xfId="0" applyNumberFormat="1" applyFont="1"/>
    <xf numFmtId="0" fontId="187" fillId="0" borderId="0" xfId="0" applyFont="1"/>
    <xf numFmtId="0" fontId="185" fillId="0" borderId="0" xfId="0" applyFont="1"/>
    <xf numFmtId="0" fontId="186" fillId="0" borderId="13" xfId="0" applyFont="1" applyBorder="1" applyAlignment="1"/>
    <xf numFmtId="0" fontId="186" fillId="0" borderId="13" xfId="0" applyFont="1" applyBorder="1" applyAlignment="1">
      <alignment vertical="top"/>
    </xf>
    <xf numFmtId="0" fontId="187" fillId="0" borderId="0" xfId="0" applyFont="1" applyBorder="1"/>
    <xf numFmtId="0" fontId="186" fillId="0" borderId="0" xfId="0" applyFont="1" applyBorder="1" applyAlignment="1"/>
    <xf numFmtId="2" fontId="186" fillId="0" borderId="0" xfId="0" applyNumberFormat="1" applyFont="1" applyBorder="1"/>
    <xf numFmtId="0" fontId="186" fillId="0" borderId="0" xfId="0" applyFont="1" applyAlignment="1">
      <alignment vertical="top"/>
    </xf>
    <xf numFmtId="9" fontId="186" fillId="0" borderId="0" xfId="0" applyNumberFormat="1" applyFont="1"/>
    <xf numFmtId="0" fontId="187" fillId="0" borderId="39" xfId="0" applyFont="1" applyFill="1" applyBorder="1"/>
    <xf numFmtId="0" fontId="186" fillId="0" borderId="0" xfId="0" applyFont="1" applyBorder="1"/>
    <xf numFmtId="168" fontId="186" fillId="0" borderId="0" xfId="0" applyNumberFormat="1" applyFont="1"/>
    <xf numFmtId="0" fontId="186" fillId="0" borderId="0" xfId="0" applyFont="1" applyFill="1"/>
    <xf numFmtId="9" fontId="186" fillId="0" borderId="0" xfId="11179" applyFont="1"/>
    <xf numFmtId="168" fontId="186" fillId="0" borderId="0" xfId="0" applyNumberFormat="1" applyFont="1" applyFill="1"/>
    <xf numFmtId="0" fontId="186" fillId="0" borderId="0" xfId="0" applyFont="1" applyFill="1" applyBorder="1"/>
    <xf numFmtId="4" fontId="186" fillId="0" borderId="0" xfId="0" applyNumberFormat="1" applyFont="1"/>
    <xf numFmtId="0" fontId="186" fillId="0" borderId="0" xfId="0" applyNumberFormat="1" applyFont="1"/>
    <xf numFmtId="164" fontId="186" fillId="0" borderId="0" xfId="0" applyNumberFormat="1" applyFont="1"/>
    <xf numFmtId="9" fontId="186" fillId="0" borderId="0" xfId="11179" applyFont="1" applyBorder="1"/>
    <xf numFmtId="173" fontId="187" fillId="0" borderId="0" xfId="0" applyNumberFormat="1" applyFont="1" applyFill="1" applyBorder="1" applyAlignment="1">
      <alignment horizontal="center"/>
    </xf>
    <xf numFmtId="173" fontId="186" fillId="0" borderId="0" xfId="0" applyNumberFormat="1" applyFont="1" applyAlignment="1"/>
    <xf numFmtId="173" fontId="186" fillId="0" borderId="0" xfId="0" applyNumberFormat="1" applyFont="1" applyFill="1"/>
    <xf numFmtId="173" fontId="187" fillId="0" borderId="0" xfId="0" applyNumberFormat="1" applyFont="1" applyFill="1" applyBorder="1" applyAlignment="1"/>
    <xf numFmtId="172" fontId="0" fillId="0" borderId="0" xfId="11177" applyNumberFormat="1" applyFont="1" applyFill="1"/>
    <xf numFmtId="174" fontId="0" fillId="0" borderId="0" xfId="0" applyNumberFormat="1"/>
    <xf numFmtId="174" fontId="0" fillId="0" borderId="0" xfId="0" applyNumberFormat="1" applyFill="1"/>
    <xf numFmtId="174" fontId="0" fillId="0" borderId="0" xfId="0" applyNumberFormat="1" applyFill="1" applyBorder="1"/>
    <xf numFmtId="174" fontId="0" fillId="0" borderId="8" xfId="0" applyNumberFormat="1" applyBorder="1"/>
    <xf numFmtId="164" fontId="188" fillId="40" borderId="57" xfId="0" applyNumberFormat="1" applyFont="1" applyFill="1" applyBorder="1" applyAlignment="1">
      <alignment horizontal="center" vertical="top" wrapText="1"/>
    </xf>
    <xf numFmtId="0" fontId="188" fillId="37" borderId="58" xfId="0" applyFont="1" applyFill="1" applyBorder="1" applyAlignment="1">
      <alignment horizontal="center" vertical="top" wrapText="1"/>
    </xf>
    <xf numFmtId="168" fontId="186" fillId="40" borderId="44" xfId="0" applyNumberFormat="1" applyFont="1" applyFill="1" applyBorder="1"/>
    <xf numFmtId="172" fontId="188" fillId="37" borderId="59" xfId="11177" applyNumberFormat="1" applyFont="1" applyFill="1" applyBorder="1"/>
    <xf numFmtId="174" fontId="194" fillId="0" borderId="7" xfId="0" applyNumberFormat="1" applyFont="1" applyBorder="1" applyAlignment="1">
      <alignment horizontal="right"/>
    </xf>
    <xf numFmtId="0" fontId="195" fillId="0" borderId="0" xfId="0" applyFont="1" applyAlignment="1">
      <alignment vertical="center" wrapText="1"/>
    </xf>
    <xf numFmtId="0" fontId="196" fillId="0" borderId="0" xfId="0" applyFont="1" applyAlignment="1">
      <alignment vertical="center" wrapText="1"/>
    </xf>
    <xf numFmtId="2" fontId="186" fillId="0" borderId="0" xfId="0" applyNumberFormat="1" applyFont="1" applyFill="1" applyBorder="1"/>
    <xf numFmtId="2" fontId="186" fillId="0" borderId="0" xfId="0" applyNumberFormat="1" applyFont="1" applyFill="1"/>
    <xf numFmtId="164" fontId="187" fillId="0" borderId="0" xfId="0" applyNumberFormat="1" applyFont="1" applyFill="1"/>
    <xf numFmtId="0" fontId="187" fillId="0" borderId="0" xfId="0" applyFont="1" applyFill="1"/>
    <xf numFmtId="0" fontId="197" fillId="0" borderId="0" xfId="0" applyFont="1" applyFill="1" applyAlignment="1">
      <alignment vertical="center" wrapText="1"/>
    </xf>
    <xf numFmtId="164" fontId="186" fillId="0" borderId="0" xfId="0" applyNumberFormat="1" applyFont="1" applyFill="1" applyBorder="1"/>
    <xf numFmtId="175" fontId="184" fillId="0" borderId="0" xfId="0" applyNumberFormat="1" applyFont="1" applyAlignment="1">
      <alignment horizontal="left"/>
    </xf>
    <xf numFmtId="168" fontId="187" fillId="4" borderId="76" xfId="0" applyNumberFormat="1" applyFont="1" applyFill="1" applyBorder="1"/>
    <xf numFmtId="0" fontId="187" fillId="0" borderId="40" xfId="0" applyFont="1" applyFill="1" applyBorder="1"/>
    <xf numFmtId="0" fontId="186" fillId="39" borderId="79" xfId="0" applyFont="1" applyFill="1" applyBorder="1"/>
    <xf numFmtId="0" fontId="186" fillId="0" borderId="38" xfId="0" applyNumberFormat="1" applyFont="1" applyFill="1" applyBorder="1"/>
    <xf numFmtId="0" fontId="186" fillId="39" borderId="74" xfId="0" applyFont="1" applyFill="1" applyBorder="1"/>
    <xf numFmtId="0" fontId="208" fillId="0" borderId="55" xfId="0" applyFont="1" applyFill="1" applyBorder="1"/>
    <xf numFmtId="0" fontId="208" fillId="0" borderId="38" xfId="0" applyFont="1" applyFill="1" applyBorder="1"/>
    <xf numFmtId="0" fontId="186" fillId="0" borderId="55" xfId="0" applyFont="1" applyFill="1" applyBorder="1"/>
    <xf numFmtId="0" fontId="186" fillId="0" borderId="36" xfId="0" applyFont="1" applyFill="1" applyBorder="1"/>
    <xf numFmtId="0" fontId="186" fillId="0" borderId="38" xfId="0" applyFont="1" applyFill="1" applyBorder="1"/>
    <xf numFmtId="0" fontId="186" fillId="39" borderId="52" xfId="0" applyFont="1" applyFill="1" applyBorder="1"/>
    <xf numFmtId="168" fontId="187" fillId="4" borderId="53" xfId="0" applyNumberFormat="1" applyFont="1" applyFill="1" applyBorder="1"/>
    <xf numFmtId="0" fontId="186" fillId="0" borderId="51" xfId="0" applyFont="1" applyFill="1" applyBorder="1"/>
    <xf numFmtId="0" fontId="186" fillId="0" borderId="52" xfId="0" applyFont="1" applyFill="1" applyBorder="1"/>
    <xf numFmtId="0" fontId="186" fillId="0" borderId="80" xfId="0" applyFont="1" applyFill="1" applyBorder="1"/>
    <xf numFmtId="0" fontId="186" fillId="39" borderId="50" xfId="0" applyFont="1" applyFill="1" applyBorder="1"/>
    <xf numFmtId="0" fontId="186" fillId="0" borderId="26" xfId="0" applyFont="1" applyBorder="1" applyAlignment="1">
      <alignment vertical="top"/>
    </xf>
    <xf numFmtId="168" fontId="187" fillId="4" borderId="13" xfId="798" applyNumberFormat="1" applyFont="1" applyFill="1" applyBorder="1" applyAlignment="1"/>
    <xf numFmtId="17" fontId="186" fillId="0" borderId="78" xfId="0" applyNumberFormat="1" applyFont="1" applyBorder="1" applyAlignment="1">
      <alignment horizontal="center" vertical="center"/>
    </xf>
    <xf numFmtId="176" fontId="189" fillId="37" borderId="82" xfId="798" applyNumberFormat="1" applyFont="1" applyFill="1" applyBorder="1"/>
    <xf numFmtId="176" fontId="189" fillId="37" borderId="83" xfId="798" applyNumberFormat="1" applyFont="1" applyFill="1" applyBorder="1"/>
    <xf numFmtId="176" fontId="191" fillId="37" borderId="82" xfId="798" applyNumberFormat="1" applyFont="1" applyFill="1" applyBorder="1"/>
    <xf numFmtId="176" fontId="191" fillId="37" borderId="83" xfId="798" applyNumberFormat="1" applyFont="1" applyFill="1" applyBorder="1"/>
    <xf numFmtId="176" fontId="189" fillId="37" borderId="84" xfId="798" applyNumberFormat="1" applyFont="1" applyFill="1" applyBorder="1"/>
    <xf numFmtId="176" fontId="189" fillId="37" borderId="1" xfId="798" applyNumberFormat="1" applyFont="1" applyFill="1" applyBorder="1"/>
    <xf numFmtId="176" fontId="189" fillId="0" borderId="1" xfId="798" applyNumberFormat="1" applyFont="1" applyFill="1" applyBorder="1"/>
    <xf numFmtId="176" fontId="189" fillId="37" borderId="85" xfId="798" applyNumberFormat="1" applyFont="1" applyFill="1" applyBorder="1"/>
    <xf numFmtId="176" fontId="186" fillId="4" borderId="86" xfId="798" applyNumberFormat="1" applyFont="1" applyFill="1" applyBorder="1" applyAlignment="1"/>
    <xf numFmtId="0" fontId="186" fillId="39" borderId="75" xfId="0" applyFont="1" applyFill="1" applyBorder="1"/>
    <xf numFmtId="0" fontId="186" fillId="0" borderId="55" xfId="0" applyNumberFormat="1" applyFont="1" applyFill="1" applyBorder="1"/>
    <xf numFmtId="0" fontId="186" fillId="0" borderId="87" xfId="0" applyFont="1" applyBorder="1"/>
    <xf numFmtId="1" fontId="186" fillId="0" borderId="39" xfId="0" applyNumberFormat="1" applyFont="1" applyBorder="1"/>
    <xf numFmtId="0" fontId="186" fillId="0" borderId="88" xfId="0" applyFont="1" applyBorder="1"/>
    <xf numFmtId="168" fontId="187" fillId="4" borderId="81" xfId="0" applyNumberFormat="1" applyFont="1" applyFill="1" applyBorder="1"/>
    <xf numFmtId="176" fontId="186" fillId="4" borderId="2" xfId="798" applyNumberFormat="1" applyFont="1" applyFill="1" applyBorder="1"/>
    <xf numFmtId="0" fontId="186" fillId="39" borderId="89" xfId="0" applyFont="1" applyFill="1" applyBorder="1"/>
    <xf numFmtId="168" fontId="187" fillId="4" borderId="73" xfId="0" applyNumberFormat="1" applyFont="1" applyFill="1" applyBorder="1"/>
    <xf numFmtId="176" fontId="186" fillId="39" borderId="13" xfId="798" applyNumberFormat="1" applyFont="1" applyFill="1" applyBorder="1"/>
    <xf numFmtId="0" fontId="186" fillId="39" borderId="72" xfId="0" applyFont="1" applyFill="1" applyBorder="1"/>
    <xf numFmtId="164" fontId="198" fillId="0" borderId="53" xfId="0" applyNumberFormat="1" applyFont="1" applyFill="1" applyBorder="1"/>
    <xf numFmtId="176" fontId="189" fillId="0" borderId="76" xfId="798" applyNumberFormat="1" applyFont="1" applyFill="1" applyBorder="1"/>
    <xf numFmtId="176" fontId="186" fillId="0" borderId="54" xfId="798" applyNumberFormat="1" applyFont="1" applyFill="1" applyBorder="1"/>
    <xf numFmtId="0" fontId="186" fillId="0" borderId="50" xfId="0" applyFont="1" applyFill="1" applyBorder="1"/>
    <xf numFmtId="176" fontId="186" fillId="4" borderId="76" xfId="798" applyNumberFormat="1" applyFont="1" applyFill="1" applyBorder="1"/>
    <xf numFmtId="4" fontId="189" fillId="0" borderId="0" xfId="0" applyNumberFormat="1" applyFont="1"/>
    <xf numFmtId="176" fontId="189" fillId="0" borderId="90" xfId="798" applyNumberFormat="1" applyFont="1" applyFill="1" applyBorder="1"/>
    <xf numFmtId="0" fontId="186" fillId="0" borderId="33" xfId="0" applyFont="1" applyFill="1" applyBorder="1"/>
    <xf numFmtId="169" fontId="188" fillId="37" borderId="83" xfId="798" applyNumberFormat="1" applyFont="1" applyFill="1" applyBorder="1"/>
    <xf numFmtId="169" fontId="190" fillId="37" borderId="82" xfId="798" applyNumberFormat="1" applyFont="1" applyFill="1" applyBorder="1"/>
    <xf numFmtId="169" fontId="190" fillId="37" borderId="83" xfId="798" applyNumberFormat="1" applyFont="1" applyFill="1" applyBorder="1"/>
    <xf numFmtId="169" fontId="188" fillId="37" borderId="82" xfId="798" applyNumberFormat="1" applyFont="1" applyFill="1" applyBorder="1"/>
    <xf numFmtId="169" fontId="188" fillId="37" borderId="84" xfId="798" applyNumberFormat="1" applyFont="1" applyFill="1" applyBorder="1"/>
    <xf numFmtId="169" fontId="188" fillId="37" borderId="1" xfId="798" applyNumberFormat="1" applyFont="1" applyFill="1" applyBorder="1"/>
    <xf numFmtId="0" fontId="188" fillId="0" borderId="1" xfId="798" applyFont="1" applyFill="1" applyBorder="1"/>
    <xf numFmtId="0" fontId="188" fillId="0" borderId="90" xfId="798" applyFont="1" applyFill="1" applyBorder="1"/>
    <xf numFmtId="169" fontId="188" fillId="37" borderId="85" xfId="798" applyNumberFormat="1" applyFont="1" applyFill="1" applyBorder="1"/>
    <xf numFmtId="168" fontId="187" fillId="4" borderId="25" xfId="798" applyNumberFormat="1" applyFont="1" applyFill="1" applyBorder="1"/>
    <xf numFmtId="176" fontId="186" fillId="39" borderId="91" xfId="798" applyNumberFormat="1" applyFont="1" applyFill="1" applyBorder="1"/>
    <xf numFmtId="176" fontId="186" fillId="39" borderId="83" xfId="798" applyNumberFormat="1" applyFont="1" applyFill="1" applyBorder="1"/>
    <xf numFmtId="176" fontId="186" fillId="39" borderId="82" xfId="798" applyNumberFormat="1" applyFont="1" applyFill="1" applyBorder="1"/>
    <xf numFmtId="176" fontId="186" fillId="39" borderId="84" xfId="798" applyNumberFormat="1" applyFont="1" applyFill="1" applyBorder="1"/>
    <xf numFmtId="176" fontId="186" fillId="39" borderId="1" xfId="798" applyNumberFormat="1" applyFont="1" applyFill="1" applyBorder="1"/>
    <xf numFmtId="176" fontId="186" fillId="39" borderId="76" xfId="798" applyNumberFormat="1" applyFont="1" applyFill="1" applyBorder="1"/>
    <xf numFmtId="176" fontId="186" fillId="0" borderId="1" xfId="798" applyNumberFormat="1" applyFont="1" applyFill="1" applyBorder="1"/>
    <xf numFmtId="176" fontId="186" fillId="0" borderId="90" xfId="798" applyNumberFormat="1" applyFont="1" applyFill="1" applyBorder="1"/>
    <xf numFmtId="176" fontId="186" fillId="39" borderId="25" xfId="798" applyNumberFormat="1" applyFont="1" applyFill="1" applyBorder="1"/>
    <xf numFmtId="17" fontId="186" fillId="0" borderId="78" xfId="0" applyNumberFormat="1" applyFont="1" applyBorder="1" applyAlignment="1">
      <alignment horizontal="center" vertical="center" wrapText="1"/>
    </xf>
    <xf numFmtId="173" fontId="188" fillId="0" borderId="0" xfId="0" applyNumberFormat="1" applyFont="1" applyFill="1" applyBorder="1" applyAlignment="1">
      <alignment horizontal="left"/>
    </xf>
    <xf numFmtId="0" fontId="186" fillId="0" borderId="34" xfId="0" applyNumberFormat="1" applyFont="1" applyFill="1" applyBorder="1"/>
    <xf numFmtId="0" fontId="186" fillId="0" borderId="35" xfId="0" applyFont="1" applyFill="1" applyBorder="1"/>
    <xf numFmtId="0" fontId="186" fillId="0" borderId="42" xfId="0" applyFont="1" applyFill="1" applyBorder="1"/>
    <xf numFmtId="0" fontId="186" fillId="0" borderId="37" xfId="0" applyNumberFormat="1" applyFont="1" applyFill="1" applyBorder="1"/>
    <xf numFmtId="0" fontId="208" fillId="0" borderId="41" xfId="0" applyFont="1" applyFill="1" applyBorder="1"/>
    <xf numFmtId="0" fontId="208" fillId="0" borderId="37" xfId="0" applyFont="1" applyFill="1" applyBorder="1"/>
    <xf numFmtId="0" fontId="186" fillId="0" borderId="41" xfId="0" applyFont="1" applyFill="1" applyBorder="1"/>
    <xf numFmtId="40" fontId="186" fillId="0" borderId="0" xfId="0" applyNumberFormat="1" applyFont="1"/>
    <xf numFmtId="40" fontId="186" fillId="0" borderId="0" xfId="0" applyNumberFormat="1" applyFont="1" applyBorder="1"/>
    <xf numFmtId="40" fontId="186" fillId="0" borderId="13" xfId="0" applyNumberFormat="1" applyFont="1" applyBorder="1" applyAlignment="1"/>
    <xf numFmtId="40" fontId="186" fillId="0" borderId="0" xfId="0" applyNumberFormat="1" applyFont="1" applyFill="1"/>
    <xf numFmtId="40" fontId="186" fillId="0" borderId="0" xfId="0" applyNumberFormat="1" applyFont="1" applyAlignment="1"/>
    <xf numFmtId="40" fontId="187" fillId="0" borderId="0" xfId="0" applyNumberFormat="1" applyFont="1" applyFill="1" applyBorder="1" applyAlignment="1">
      <alignment horizontal="center"/>
    </xf>
    <xf numFmtId="40" fontId="187" fillId="0" borderId="0" xfId="0" applyNumberFormat="1" applyFont="1" applyFill="1" applyBorder="1" applyAlignment="1"/>
    <xf numFmtId="164" fontId="198" fillId="0" borderId="48" xfId="0" applyNumberFormat="1" applyFont="1" applyFill="1" applyBorder="1"/>
    <xf numFmtId="177" fontId="186" fillId="0" borderId="48" xfId="0" applyNumberFormat="1" applyFont="1" applyFill="1" applyBorder="1" applyAlignment="1">
      <alignment vertical="center"/>
    </xf>
    <xf numFmtId="171" fontId="198" fillId="0" borderId="48" xfId="0" applyNumberFormat="1" applyFont="1" applyFill="1" applyBorder="1" applyAlignment="1">
      <alignment vertical="center"/>
    </xf>
    <xf numFmtId="171" fontId="198" fillId="0" borderId="48" xfId="11177" applyNumberFormat="1" applyFont="1" applyFill="1" applyBorder="1" applyAlignment="1">
      <alignment vertical="center"/>
    </xf>
    <xf numFmtId="0" fontId="186" fillId="0" borderId="43" xfId="0" applyFont="1" applyFill="1" applyBorder="1"/>
    <xf numFmtId="168" fontId="187" fillId="43" borderId="77" xfId="0" applyNumberFormat="1" applyFont="1" applyFill="1" applyBorder="1"/>
    <xf numFmtId="168" fontId="187" fillId="43" borderId="78" xfId="0" applyNumberFormat="1" applyFont="1" applyFill="1" applyBorder="1"/>
    <xf numFmtId="172" fontId="188" fillId="37" borderId="87" xfId="11177" applyNumberFormat="1" applyFont="1" applyFill="1" applyBorder="1"/>
    <xf numFmtId="168" fontId="186" fillId="41" borderId="87" xfId="0" applyNumberFormat="1" applyFont="1" applyFill="1" applyBorder="1"/>
    <xf numFmtId="177" fontId="186" fillId="42" borderId="45" xfId="0" applyNumberFormat="1" applyFont="1" applyFill="1" applyBorder="1" applyAlignment="1">
      <alignment vertical="center"/>
    </xf>
    <xf numFmtId="177" fontId="186" fillId="37" borderId="91" xfId="0" applyNumberFormat="1" applyFont="1" applyFill="1" applyBorder="1" applyAlignment="1">
      <alignment vertical="center"/>
    </xf>
    <xf numFmtId="171" fontId="186" fillId="41" borderId="91" xfId="0" applyNumberFormat="1" applyFont="1" applyFill="1" applyBorder="1" applyAlignment="1">
      <alignment vertical="center"/>
    </xf>
    <xf numFmtId="177" fontId="186" fillId="42" borderId="92" xfId="0" applyNumberFormat="1" applyFont="1" applyFill="1" applyBorder="1" applyAlignment="1">
      <alignment vertical="center"/>
    </xf>
    <xf numFmtId="171" fontId="186" fillId="41" borderId="85" xfId="0" applyNumberFormat="1" applyFont="1" applyFill="1" applyBorder="1" applyAlignment="1">
      <alignment vertical="center"/>
    </xf>
    <xf numFmtId="171" fontId="208" fillId="41" borderId="91" xfId="0" applyNumberFormat="1" applyFont="1" applyFill="1" applyBorder="1" applyAlignment="1">
      <alignment vertical="center"/>
    </xf>
    <xf numFmtId="177" fontId="186" fillId="42" borderId="47" xfId="0" applyNumberFormat="1" applyFont="1" applyFill="1" applyBorder="1" applyAlignment="1">
      <alignment vertical="center"/>
    </xf>
    <xf numFmtId="177" fontId="186" fillId="37" borderId="83" xfId="0" applyNumberFormat="1" applyFont="1" applyFill="1" applyBorder="1" applyAlignment="1">
      <alignment vertical="center"/>
    </xf>
    <xf numFmtId="171" fontId="208" fillId="41" borderId="83" xfId="0" applyNumberFormat="1" applyFont="1" applyFill="1" applyBorder="1" applyAlignment="1">
      <alignment vertical="center"/>
    </xf>
    <xf numFmtId="177" fontId="186" fillId="42" borderId="56" xfId="0" applyNumberFormat="1" applyFont="1" applyFill="1" applyBorder="1" applyAlignment="1">
      <alignment vertical="center"/>
    </xf>
    <xf numFmtId="177" fontId="186" fillId="37" borderId="82" xfId="0" applyNumberFormat="1" applyFont="1" applyFill="1" applyBorder="1" applyAlignment="1">
      <alignment vertical="center"/>
    </xf>
    <xf numFmtId="171" fontId="186" fillId="41" borderId="82" xfId="0" applyNumberFormat="1" applyFont="1" applyFill="1" applyBorder="1" applyAlignment="1">
      <alignment vertical="center"/>
    </xf>
    <xf numFmtId="177" fontId="186" fillId="42" borderId="46" xfId="0" applyNumberFormat="1" applyFont="1" applyFill="1" applyBorder="1" applyAlignment="1">
      <alignment vertical="center"/>
    </xf>
    <xf numFmtId="177" fontId="186" fillId="37" borderId="84" xfId="0" applyNumberFormat="1" applyFont="1" applyFill="1" applyBorder="1" applyAlignment="1">
      <alignment vertical="center"/>
    </xf>
    <xf numFmtId="171" fontId="186" fillId="41" borderId="84" xfId="0" applyNumberFormat="1" applyFont="1" applyFill="1" applyBorder="1" applyAlignment="1">
      <alignment vertical="center"/>
    </xf>
    <xf numFmtId="177" fontId="186" fillId="43" borderId="57" xfId="0" applyNumberFormat="1" applyFont="1" applyFill="1" applyBorder="1" applyAlignment="1">
      <alignment vertical="center"/>
    </xf>
    <xf numFmtId="177" fontId="186" fillId="43" borderId="78" xfId="0" applyNumberFormat="1" applyFont="1" applyFill="1" applyBorder="1" applyAlignment="1">
      <alignment vertical="center"/>
    </xf>
    <xf numFmtId="177" fontId="186" fillId="43" borderId="58" xfId="0" applyNumberFormat="1" applyFont="1" applyFill="1" applyBorder="1" applyAlignment="1">
      <alignment vertical="center"/>
    </xf>
    <xf numFmtId="171" fontId="186" fillId="38" borderId="84" xfId="11177" applyNumberFormat="1" applyFont="1" applyFill="1" applyBorder="1" applyAlignment="1">
      <alignment vertical="center"/>
    </xf>
    <xf numFmtId="177" fontId="187" fillId="43" borderId="57" xfId="0" applyNumberFormat="1" applyFont="1" applyFill="1" applyBorder="1" applyAlignment="1">
      <alignment vertical="center"/>
    </xf>
    <xf numFmtId="177" fontId="187" fillId="43" borderId="58" xfId="0" applyNumberFormat="1" applyFont="1" applyFill="1" applyBorder="1" applyAlignment="1">
      <alignment vertical="center"/>
    </xf>
    <xf numFmtId="164" fontId="188" fillId="39" borderId="57" xfId="0" applyNumberFormat="1" applyFont="1" applyFill="1" applyBorder="1" applyAlignment="1">
      <alignment horizontal="center" vertical="top" wrapText="1"/>
    </xf>
    <xf numFmtId="177" fontId="186" fillId="39" borderId="45" xfId="0" applyNumberFormat="1" applyFont="1" applyFill="1" applyBorder="1" applyAlignment="1">
      <alignment vertical="center"/>
    </xf>
    <xf numFmtId="177" fontId="186" fillId="37" borderId="60" xfId="0" applyNumberFormat="1" applyFont="1" applyFill="1" applyBorder="1" applyAlignment="1">
      <alignment vertical="center"/>
    </xf>
    <xf numFmtId="177" fontId="186" fillId="39" borderId="92" xfId="0" applyNumberFormat="1" applyFont="1" applyFill="1" applyBorder="1" applyAlignment="1">
      <alignment vertical="center"/>
    </xf>
    <xf numFmtId="177" fontId="186" fillId="37" borderId="64" xfId="0" applyNumberFormat="1" applyFont="1" applyFill="1" applyBorder="1" applyAlignment="1">
      <alignment vertical="center"/>
    </xf>
    <xf numFmtId="177" fontId="186" fillId="39" borderId="47" xfId="0" applyNumberFormat="1" applyFont="1" applyFill="1" applyBorder="1" applyAlignment="1">
      <alignment vertical="center"/>
    </xf>
    <xf numFmtId="177" fontId="186" fillId="37" borderId="61" xfId="0" applyNumberFormat="1" applyFont="1" applyFill="1" applyBorder="1" applyAlignment="1">
      <alignment vertical="center"/>
    </xf>
    <xf numFmtId="177" fontId="186" fillId="39" borderId="56" xfId="0" applyNumberFormat="1" applyFont="1" applyFill="1" applyBorder="1" applyAlignment="1">
      <alignment vertical="center"/>
    </xf>
    <xf numFmtId="177" fontId="186" fillId="37" borderId="62" xfId="0" applyNumberFormat="1" applyFont="1" applyFill="1" applyBorder="1" applyAlignment="1">
      <alignment vertical="center"/>
    </xf>
    <xf numFmtId="177" fontId="186" fillId="39" borderId="46" xfId="0" applyNumberFormat="1" applyFont="1" applyFill="1" applyBorder="1" applyAlignment="1">
      <alignment vertical="center"/>
    </xf>
    <xf numFmtId="177" fontId="186" fillId="37" borderId="63" xfId="0" applyNumberFormat="1" applyFont="1" applyFill="1" applyBorder="1" applyAlignment="1">
      <alignment vertical="center"/>
    </xf>
    <xf numFmtId="0" fontId="188" fillId="37" borderId="78" xfId="0" applyFont="1" applyFill="1" applyBorder="1" applyAlignment="1">
      <alignment horizontal="center" vertical="top" wrapText="1"/>
    </xf>
    <xf numFmtId="164" fontId="188" fillId="41" borderId="78" xfId="0" applyNumberFormat="1" applyFont="1" applyFill="1" applyBorder="1" applyAlignment="1">
      <alignment horizontal="center" vertical="top" wrapText="1"/>
    </xf>
    <xf numFmtId="0" fontId="186" fillId="0" borderId="41" xfId="0" applyNumberFormat="1" applyFont="1" applyFill="1" applyBorder="1"/>
    <xf numFmtId="171" fontId="186" fillId="38" borderId="82" xfId="11177" applyNumberFormat="1" applyFont="1" applyFill="1" applyBorder="1" applyAlignment="1">
      <alignment vertical="center"/>
    </xf>
    <xf numFmtId="164" fontId="186" fillId="0" borderId="43" xfId="0" applyNumberFormat="1" applyFont="1" applyFill="1" applyBorder="1" applyAlignment="1">
      <alignment horizontal="right" vertical="center" wrapText="1"/>
    </xf>
    <xf numFmtId="1" fontId="186" fillId="0" borderId="43" xfId="0" applyNumberFormat="1" applyFont="1" applyFill="1" applyBorder="1" applyAlignment="1">
      <alignment vertical="center"/>
    </xf>
    <xf numFmtId="172" fontId="186" fillId="0" borderId="43" xfId="11177" applyNumberFormat="1" applyFont="1" applyFill="1" applyBorder="1" applyAlignment="1">
      <alignment vertical="center"/>
    </xf>
    <xf numFmtId="0" fontId="187" fillId="0" borderId="13" xfId="0" applyFont="1" applyFill="1" applyBorder="1"/>
    <xf numFmtId="164" fontId="186" fillId="0" borderId="13" xfId="0" applyNumberFormat="1" applyFont="1" applyFill="1" applyBorder="1" applyAlignment="1">
      <alignment horizontal="right" vertical="center" wrapText="1"/>
    </xf>
    <xf numFmtId="1" fontId="186" fillId="0" borderId="13" xfId="0" applyNumberFormat="1" applyFont="1" applyFill="1" applyBorder="1" applyAlignment="1">
      <alignment vertical="center"/>
    </xf>
    <xf numFmtId="172" fontId="186" fillId="0" borderId="13" xfId="11177" applyNumberFormat="1" applyFont="1" applyFill="1" applyBorder="1" applyAlignment="1">
      <alignment vertical="center"/>
    </xf>
    <xf numFmtId="164" fontId="188" fillId="40" borderId="93" xfId="0" applyNumberFormat="1" applyFont="1" applyFill="1" applyBorder="1" applyAlignment="1">
      <alignment horizontal="center" vertical="top" wrapText="1"/>
    </xf>
    <xf numFmtId="40" fontId="188" fillId="40" borderId="94" xfId="0" applyNumberFormat="1" applyFont="1" applyFill="1" applyBorder="1" applyAlignment="1">
      <alignment horizontal="center" vertical="top" wrapText="1"/>
    </xf>
    <xf numFmtId="168" fontId="186" fillId="40" borderId="95" xfId="0" applyNumberFormat="1" applyFont="1" applyFill="1" applyBorder="1"/>
    <xf numFmtId="40" fontId="186" fillId="40" borderId="96" xfId="0" applyNumberFormat="1" applyFont="1" applyFill="1" applyBorder="1"/>
    <xf numFmtId="177" fontId="186" fillId="42" borderId="97" xfId="0" applyNumberFormat="1" applyFont="1" applyFill="1" applyBorder="1" applyAlignment="1">
      <alignment vertical="center"/>
    </xf>
    <xf numFmtId="177" fontId="186" fillId="42" borderId="98" xfId="0" applyNumberFormat="1" applyFont="1" applyFill="1" applyBorder="1" applyAlignment="1">
      <alignment vertical="center"/>
    </xf>
    <xf numFmtId="177" fontId="186" fillId="42" borderId="99" xfId="0" applyNumberFormat="1" applyFont="1" applyFill="1" applyBorder="1" applyAlignment="1">
      <alignment vertical="center"/>
    </xf>
    <xf numFmtId="177" fontId="186" fillId="42" borderId="100" xfId="0" applyNumberFormat="1" applyFont="1" applyFill="1" applyBorder="1" applyAlignment="1">
      <alignment vertical="center"/>
    </xf>
    <xf numFmtId="177" fontId="186" fillId="42" borderId="101" xfId="0" applyNumberFormat="1" applyFont="1" applyFill="1" applyBorder="1" applyAlignment="1">
      <alignment vertical="center"/>
    </xf>
    <xf numFmtId="177" fontId="186" fillId="42" borderId="102" xfId="0" applyNumberFormat="1" applyFont="1" applyFill="1" applyBorder="1" applyAlignment="1">
      <alignment vertical="center"/>
    </xf>
    <xf numFmtId="177" fontId="186" fillId="42" borderId="103" xfId="0" applyNumberFormat="1" applyFont="1" applyFill="1" applyBorder="1" applyAlignment="1">
      <alignment vertical="center"/>
    </xf>
    <xf numFmtId="177" fontId="186" fillId="42" borderId="104" xfId="0" applyNumberFormat="1" applyFont="1" applyFill="1" applyBorder="1" applyAlignment="1">
      <alignment vertical="center"/>
    </xf>
    <xf numFmtId="177" fontId="186" fillId="42" borderId="105" xfId="0" applyNumberFormat="1" applyFont="1" applyFill="1" applyBorder="1" applyAlignment="1">
      <alignment vertical="center"/>
    </xf>
    <xf numFmtId="177" fontId="186" fillId="42" borderId="106" xfId="0" applyNumberFormat="1" applyFont="1" applyFill="1" applyBorder="1" applyAlignment="1">
      <alignment vertical="center"/>
    </xf>
    <xf numFmtId="177" fontId="186" fillId="43" borderId="93" xfId="0" applyNumberFormat="1" applyFont="1" applyFill="1" applyBorder="1" applyAlignment="1">
      <alignment vertical="center"/>
    </xf>
    <xf numFmtId="177" fontId="186" fillId="43" borderId="94" xfId="0" applyNumberFormat="1" applyFont="1" applyFill="1" applyBorder="1" applyAlignment="1">
      <alignment vertical="center"/>
    </xf>
    <xf numFmtId="177" fontId="186" fillId="0" borderId="107" xfId="0" applyNumberFormat="1" applyFont="1" applyFill="1" applyBorder="1" applyAlignment="1">
      <alignment vertical="center"/>
    </xf>
    <xf numFmtId="177" fontId="186" fillId="0" borderId="66" xfId="0" applyNumberFormat="1" applyFont="1" applyFill="1" applyBorder="1" applyAlignment="1">
      <alignment vertical="center"/>
    </xf>
    <xf numFmtId="177" fontId="187" fillId="43" borderId="93" xfId="0" applyNumberFormat="1" applyFont="1" applyFill="1" applyBorder="1" applyAlignment="1">
      <alignment vertical="center"/>
    </xf>
    <xf numFmtId="0" fontId="199" fillId="0" borderId="13" xfId="0" applyFont="1" applyFill="1" applyBorder="1" applyAlignment="1" applyProtection="1">
      <alignment horizontal="left" vertical="center"/>
      <protection locked="0"/>
    </xf>
    <xf numFmtId="0" fontId="199" fillId="0" borderId="13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Border="1" applyAlignment="1" applyProtection="1">
      <alignment horizontal="center" vertical="center"/>
      <protection locked="0"/>
    </xf>
    <xf numFmtId="0" fontId="200" fillId="0" borderId="0" xfId="0" applyFont="1" applyFill="1" applyAlignment="1" applyProtection="1">
      <alignment vertical="center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2" fillId="0" borderId="0" xfId="0" applyFont="1" applyFill="1" applyBorder="1" applyAlignment="1" applyProtection="1">
      <alignment horizontal="left" vertical="center" wrapText="1"/>
      <protection locked="0"/>
    </xf>
    <xf numFmtId="0" fontId="204" fillId="0" borderId="0" xfId="0" applyFont="1" applyFill="1" applyAlignment="1" applyProtection="1">
      <alignment vertical="center"/>
      <protection locked="0"/>
    </xf>
    <xf numFmtId="0" fontId="205" fillId="0" borderId="13" xfId="0" applyFont="1" applyFill="1" applyBorder="1" applyAlignment="1" applyProtection="1">
      <alignment horizontal="left" vertical="center" wrapText="1"/>
      <protection locked="0"/>
    </xf>
    <xf numFmtId="0" fontId="202" fillId="0" borderId="13" xfId="0" applyFont="1" applyFill="1" applyBorder="1" applyAlignment="1" applyProtection="1">
      <alignment horizontal="left" vertical="center" wrapText="1"/>
      <protection locked="0"/>
    </xf>
    <xf numFmtId="4" fontId="203" fillId="0" borderId="65" xfId="0" applyNumberFormat="1" applyFont="1" applyFill="1" applyBorder="1" applyAlignment="1" applyProtection="1">
      <alignment horizontal="center" vertical="center"/>
      <protection locked="0"/>
    </xf>
    <xf numFmtId="0" fontId="204" fillId="0" borderId="0" xfId="0" applyFont="1" applyFill="1" applyAlignment="1" applyProtection="1">
      <alignment horizontal="left" vertical="center"/>
      <protection locked="0"/>
    </xf>
    <xf numFmtId="0" fontId="204" fillId="0" borderId="0" xfId="798" applyFont="1" applyFill="1" applyAlignment="1" applyProtection="1">
      <alignment horizontal="left" vertical="center"/>
      <protection locked="0"/>
    </xf>
    <xf numFmtId="174" fontId="204" fillId="0" borderId="0" xfId="11177" applyNumberFormat="1" applyFont="1" applyFill="1" applyAlignment="1" applyProtection="1">
      <alignment horizontal="right" vertical="center"/>
      <protection locked="0"/>
    </xf>
    <xf numFmtId="0" fontId="204" fillId="0" borderId="0" xfId="798" applyFont="1" applyAlignment="1" applyProtection="1">
      <alignment horizontal="left" vertical="center"/>
      <protection locked="0"/>
    </xf>
    <xf numFmtId="4" fontId="204" fillId="0" borderId="0" xfId="0" applyNumberFormat="1" applyFont="1" applyFill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horizontal="left" vertical="center"/>
      <protection locked="0"/>
    </xf>
    <xf numFmtId="0" fontId="204" fillId="0" borderId="0" xfId="798" applyFont="1" applyFill="1" applyBorder="1" applyAlignment="1" applyProtection="1">
      <alignment horizontal="left" vertical="center"/>
      <protection locked="0"/>
    </xf>
    <xf numFmtId="174" fontId="204" fillId="0" borderId="0" xfId="11177" applyNumberFormat="1" applyFont="1" applyFill="1" applyBorder="1" applyAlignment="1" applyProtection="1">
      <alignment horizontal="right" vertical="center"/>
      <protection locked="0"/>
    </xf>
    <xf numFmtId="0" fontId="204" fillId="0" borderId="13" xfId="0" applyFont="1" applyFill="1" applyBorder="1" applyAlignment="1" applyProtection="1">
      <alignment horizontal="left" vertical="center"/>
      <protection locked="0"/>
    </xf>
    <xf numFmtId="0" fontId="204" fillId="0" borderId="13" xfId="798" applyFont="1" applyFill="1" applyBorder="1" applyAlignment="1" applyProtection="1">
      <alignment horizontal="left" vertical="center"/>
      <protection locked="0"/>
    </xf>
    <xf numFmtId="174" fontId="204" fillId="0" borderId="13" xfId="11177" applyNumberFormat="1" applyFont="1" applyFill="1" applyBorder="1" applyAlignment="1" applyProtection="1">
      <alignment horizontal="right" vertical="center"/>
      <protection locked="0"/>
    </xf>
    <xf numFmtId="0" fontId="204" fillId="0" borderId="43" xfId="0" applyFont="1" applyFill="1" applyBorder="1" applyAlignment="1" applyProtection="1">
      <alignment horizontal="left" vertical="center"/>
      <protection locked="0"/>
    </xf>
    <xf numFmtId="0" fontId="204" fillId="0" borderId="43" xfId="798" applyFont="1" applyFill="1" applyBorder="1" applyAlignment="1" applyProtection="1">
      <alignment horizontal="left" vertical="center"/>
      <protection locked="0"/>
    </xf>
    <xf numFmtId="174" fontId="204" fillId="0" borderId="43" xfId="11177" applyNumberFormat="1" applyFont="1" applyFill="1" applyBorder="1" applyAlignment="1" applyProtection="1">
      <alignment horizontal="right" vertical="center"/>
      <protection locked="0"/>
    </xf>
    <xf numFmtId="174" fontId="204" fillId="0" borderId="0" xfId="0" applyNumberFormat="1" applyFont="1" applyFill="1" applyAlignment="1" applyProtection="1">
      <alignment vertical="center"/>
      <protection locked="0"/>
    </xf>
    <xf numFmtId="174" fontId="204" fillId="0" borderId="43" xfId="0" applyNumberFormat="1" applyFont="1" applyFill="1" applyBorder="1" applyAlignment="1" applyProtection="1">
      <alignment vertical="center"/>
      <protection locked="0"/>
    </xf>
    <xf numFmtId="174" fontId="204" fillId="0" borderId="0" xfId="0" applyNumberFormat="1" applyFont="1" applyFill="1" applyBorder="1" applyAlignment="1" applyProtection="1">
      <alignment vertical="center"/>
      <protection locked="0"/>
    </xf>
    <xf numFmtId="174" fontId="204" fillId="0" borderId="67" xfId="11177" applyNumberFormat="1" applyFont="1" applyFill="1" applyBorder="1" applyAlignment="1" applyProtection="1">
      <alignment vertical="center"/>
    </xf>
    <xf numFmtId="174" fontId="204" fillId="0" borderId="70" xfId="11177" applyNumberFormat="1" applyFont="1" applyFill="1" applyBorder="1" applyAlignment="1" applyProtection="1">
      <alignment vertical="center"/>
    </xf>
    <xf numFmtId="174" fontId="204" fillId="0" borderId="43" xfId="11177" applyNumberFormat="1" applyFont="1" applyFill="1" applyBorder="1" applyAlignment="1" applyProtection="1">
      <alignment vertical="center"/>
    </xf>
    <xf numFmtId="174" fontId="204" fillId="0" borderId="13" xfId="11177" applyNumberFormat="1" applyFont="1" applyFill="1" applyBorder="1" applyAlignment="1" applyProtection="1">
      <alignment vertical="center"/>
    </xf>
    <xf numFmtId="168" fontId="187" fillId="43" borderId="108" xfId="0" applyNumberFormat="1" applyFont="1" applyFill="1" applyBorder="1"/>
    <xf numFmtId="177" fontId="186" fillId="39" borderId="109" xfId="0" applyNumberFormat="1" applyFont="1" applyFill="1" applyBorder="1" applyAlignment="1">
      <alignment vertical="center"/>
    </xf>
    <xf numFmtId="0" fontId="186" fillId="0" borderId="110" xfId="0" applyFont="1" applyFill="1" applyBorder="1"/>
    <xf numFmtId="178" fontId="199" fillId="0" borderId="13" xfId="0" applyNumberFormat="1" applyFont="1" applyFill="1" applyBorder="1" applyAlignment="1" applyProtection="1">
      <alignment horizontal="center" vertical="center"/>
      <protection locked="0"/>
    </xf>
    <xf numFmtId="178" fontId="201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204" fillId="0" borderId="13" xfId="11177" applyNumberFormat="1" applyFont="1" applyBorder="1" applyAlignment="1" applyProtection="1">
      <alignment horizontal="right" vertical="center"/>
      <protection locked="0"/>
    </xf>
    <xf numFmtId="178" fontId="204" fillId="0" borderId="0" xfId="11177" applyNumberFormat="1" applyFont="1" applyAlignment="1" applyProtection="1">
      <alignment horizontal="right" vertical="center"/>
      <protection locked="0"/>
    </xf>
    <xf numFmtId="178" fontId="204" fillId="0" borderId="43" xfId="11177" applyNumberFormat="1" applyFont="1" applyFill="1" applyBorder="1" applyAlignment="1" applyProtection="1">
      <alignment horizontal="right" vertical="center"/>
      <protection locked="0"/>
    </xf>
    <xf numFmtId="178" fontId="204" fillId="0" borderId="13" xfId="11177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Protection="1">
      <protection locked="0"/>
    </xf>
    <xf numFmtId="178" fontId="204" fillId="0" borderId="0" xfId="11177" applyNumberFormat="1" applyFont="1" applyFill="1" applyAlignment="1" applyProtection="1">
      <alignment horizontal="right" vertical="center"/>
      <protection locked="0"/>
    </xf>
    <xf numFmtId="178" fontId="204" fillId="0" borderId="0" xfId="0" applyNumberFormat="1" applyFont="1" applyFill="1" applyAlignment="1" applyProtection="1">
      <alignment vertical="center"/>
      <protection locked="0"/>
    </xf>
    <xf numFmtId="178" fontId="204" fillId="0" borderId="0" xfId="11177" applyNumberFormat="1" applyFont="1" applyAlignment="1" applyProtection="1">
      <alignment horizontal="right" vertical="center"/>
    </xf>
    <xf numFmtId="178" fontId="204" fillId="0" borderId="13" xfId="11177" applyNumberFormat="1" applyFont="1" applyBorder="1" applyAlignment="1" applyProtection="1">
      <alignment horizontal="right" vertical="center"/>
    </xf>
    <xf numFmtId="178" fontId="0" fillId="0" borderId="0" xfId="0" applyNumberFormat="1" applyProtection="1"/>
    <xf numFmtId="174" fontId="204" fillId="0" borderId="52" xfId="11177" applyNumberFormat="1" applyFont="1" applyFill="1" applyBorder="1" applyAlignment="1" applyProtection="1">
      <alignment horizontal="right" vertical="center"/>
      <protection locked="0"/>
    </xf>
    <xf numFmtId="174" fontId="204" fillId="0" borderId="28" xfId="11177" applyNumberFormat="1" applyFont="1" applyFill="1" applyBorder="1" applyAlignment="1" applyProtection="1">
      <alignment vertical="center"/>
    </xf>
    <xf numFmtId="178" fontId="199" fillId="0" borderId="30" xfId="0" applyNumberFormat="1" applyFont="1" applyFill="1" applyBorder="1" applyAlignment="1" applyProtection="1">
      <alignment vertical="center"/>
      <protection locked="0"/>
    </xf>
    <xf numFmtId="178" fontId="199" fillId="0" borderId="0" xfId="0" applyNumberFormat="1" applyFont="1" applyFill="1" applyBorder="1" applyAlignment="1" applyProtection="1">
      <alignment vertical="center"/>
      <protection locked="0"/>
    </xf>
    <xf numFmtId="178" fontId="206" fillId="39" borderId="66" xfId="0" applyNumberFormat="1" applyFont="1" applyFill="1" applyBorder="1" applyAlignment="1" applyProtection="1">
      <alignment vertical="center"/>
      <protection locked="0"/>
    </xf>
    <xf numFmtId="178" fontId="206" fillId="39" borderId="48" xfId="0" applyNumberFormat="1" applyFont="1" applyFill="1" applyBorder="1" applyAlignment="1" applyProtection="1">
      <alignment vertical="center"/>
      <protection locked="0"/>
    </xf>
    <xf numFmtId="178" fontId="206" fillId="39" borderId="49" xfId="0" applyNumberFormat="1" applyFont="1" applyFill="1" applyBorder="1" applyAlignment="1" applyProtection="1">
      <alignment vertical="center"/>
      <protection locked="0"/>
    </xf>
    <xf numFmtId="178" fontId="207" fillId="39" borderId="27" xfId="11177" applyNumberFormat="1" applyFont="1" applyFill="1" applyBorder="1" applyAlignment="1" applyProtection="1">
      <alignment vertical="center"/>
      <protection locked="0"/>
    </xf>
    <xf numFmtId="178" fontId="207" fillId="39" borderId="68" xfId="11177" applyNumberFormat="1" applyFont="1" applyFill="1" applyBorder="1" applyAlignment="1" applyProtection="1">
      <alignment vertical="center"/>
      <protection locked="0"/>
    </xf>
    <xf numFmtId="178" fontId="207" fillId="39" borderId="29" xfId="11177" applyNumberFormat="1" applyFont="1" applyFill="1" applyBorder="1" applyAlignment="1" applyProtection="1">
      <alignment vertical="center"/>
      <protection locked="0"/>
    </xf>
    <xf numFmtId="178" fontId="207" fillId="39" borderId="69" xfId="11177" applyNumberFormat="1" applyFont="1" applyFill="1" applyBorder="1" applyAlignment="1" applyProtection="1">
      <alignment vertical="center"/>
      <protection locked="0"/>
    </xf>
    <xf numFmtId="178" fontId="207" fillId="39" borderId="30" xfId="11177" applyNumberFormat="1" applyFont="1" applyFill="1" applyBorder="1" applyAlignment="1" applyProtection="1">
      <alignment vertical="center"/>
      <protection locked="0"/>
    </xf>
    <xf numFmtId="178" fontId="207" fillId="39" borderId="31" xfId="11177" applyNumberFormat="1" applyFont="1" applyFill="1" applyBorder="1" applyAlignment="1" applyProtection="1">
      <alignment vertical="center"/>
      <protection locked="0"/>
    </xf>
    <xf numFmtId="178" fontId="207" fillId="39" borderId="32" xfId="11177" applyNumberFormat="1" applyFont="1" applyFill="1" applyBorder="1" applyAlignment="1" applyProtection="1">
      <alignment vertical="center"/>
      <protection locked="0"/>
    </xf>
    <xf numFmtId="178" fontId="207" fillId="39" borderId="71" xfId="11177" applyNumberFormat="1" applyFont="1" applyFill="1" applyBorder="1" applyAlignment="1" applyProtection="1">
      <alignment vertical="center"/>
      <protection locked="0"/>
    </xf>
    <xf numFmtId="178" fontId="207" fillId="0" borderId="43" xfId="11177" applyNumberFormat="1" applyFont="1" applyFill="1" applyBorder="1" applyAlignment="1" applyProtection="1">
      <alignment vertical="center"/>
      <protection locked="0"/>
    </xf>
    <xf numFmtId="178" fontId="207" fillId="0" borderId="13" xfId="11177" applyNumberFormat="1" applyFont="1" applyFill="1" applyBorder="1" applyAlignment="1" applyProtection="1">
      <alignment vertical="center"/>
      <protection locked="0"/>
    </xf>
    <xf numFmtId="178" fontId="204" fillId="0" borderId="43" xfId="0" applyNumberFormat="1" applyFont="1" applyFill="1" applyBorder="1" applyAlignment="1" applyProtection="1">
      <alignment vertical="center"/>
      <protection locked="0"/>
    </xf>
    <xf numFmtId="178" fontId="204" fillId="0" borderId="0" xfId="0" applyNumberFormat="1" applyFont="1" applyFill="1" applyBorder="1" applyAlignment="1" applyProtection="1">
      <alignment vertical="center"/>
      <protection locked="0"/>
    </xf>
    <xf numFmtId="178" fontId="204" fillId="0" borderId="28" xfId="0" applyNumberFormat="1" applyFont="1" applyFill="1" applyBorder="1" applyAlignment="1" applyProtection="1">
      <alignment vertical="center"/>
      <protection locked="0"/>
    </xf>
    <xf numFmtId="178" fontId="204" fillId="0" borderId="30" xfId="0" applyNumberFormat="1" applyFont="1" applyFill="1" applyBorder="1" applyAlignment="1" applyProtection="1">
      <alignment vertical="center"/>
      <protection locked="0"/>
    </xf>
    <xf numFmtId="178" fontId="204" fillId="0" borderId="0" xfId="11177" applyNumberFormat="1" applyFont="1" applyFill="1" applyAlignment="1" applyProtection="1">
      <alignment horizontal="right" vertical="center"/>
    </xf>
    <xf numFmtId="178" fontId="0" fillId="0" borderId="0" xfId="0" applyNumberFormat="1" applyFill="1" applyProtection="1">
      <protection locked="0"/>
    </xf>
    <xf numFmtId="178" fontId="0" fillId="0" borderId="0" xfId="0" applyNumberFormat="1" applyFill="1" applyProtection="1"/>
    <xf numFmtId="178" fontId="153" fillId="0" borderId="0" xfId="0" applyNumberFormat="1" applyFont="1" applyProtection="1">
      <protection locked="0"/>
    </xf>
    <xf numFmtId="178" fontId="153" fillId="0" borderId="0" xfId="0" applyNumberFormat="1" applyFont="1" applyProtection="1"/>
    <xf numFmtId="178" fontId="153" fillId="0" borderId="13" xfId="0" applyNumberFormat="1" applyFont="1" applyBorder="1" applyProtection="1">
      <protection locked="0"/>
    </xf>
    <xf numFmtId="178" fontId="153" fillId="0" borderId="13" xfId="0" applyNumberFormat="1" applyFont="1" applyBorder="1" applyProtection="1"/>
    <xf numFmtId="4" fontId="186" fillId="0" borderId="0" xfId="95" applyNumberFormat="1" applyFont="1" applyFill="1" applyAlignment="1">
      <alignment horizontal="right"/>
    </xf>
    <xf numFmtId="177" fontId="186" fillId="37" borderId="111" xfId="0" applyNumberFormat="1" applyFont="1" applyFill="1" applyBorder="1" applyAlignment="1">
      <alignment vertical="center"/>
    </xf>
    <xf numFmtId="177" fontId="186" fillId="37" borderId="112" xfId="0" applyNumberFormat="1" applyFont="1" applyFill="1" applyBorder="1" applyAlignment="1">
      <alignment vertical="center"/>
    </xf>
    <xf numFmtId="174" fontId="0" fillId="39" borderId="3" xfId="0" applyNumberFormat="1" applyFill="1" applyBorder="1"/>
    <xf numFmtId="174" fontId="0" fillId="39" borderId="4" xfId="0" applyNumberFormat="1" applyFill="1" applyBorder="1"/>
    <xf numFmtId="174" fontId="153" fillId="39" borderId="3" xfId="0" applyNumberFormat="1" applyFont="1" applyFill="1" applyBorder="1"/>
    <xf numFmtId="174" fontId="153" fillId="39" borderId="4" xfId="0" applyNumberFormat="1" applyFont="1" applyFill="1" applyBorder="1"/>
    <xf numFmtId="174" fontId="0" fillId="39" borderId="5" xfId="0" applyNumberFormat="1" applyFill="1" applyBorder="1"/>
    <xf numFmtId="174" fontId="0" fillId="39" borderId="6" xfId="0" applyNumberFormat="1" applyFill="1" applyBorder="1"/>
    <xf numFmtId="174" fontId="209" fillId="39" borderId="4" xfId="0" applyNumberFormat="1" applyFont="1" applyFill="1" applyBorder="1"/>
    <xf numFmtId="174" fontId="194" fillId="39" borderId="7" xfId="0" applyNumberFormat="1" applyFont="1" applyFill="1" applyBorder="1" applyAlignment="1">
      <alignment horizontal="right"/>
    </xf>
    <xf numFmtId="174" fontId="0" fillId="39" borderId="8" xfId="0" applyNumberFormat="1" applyFill="1" applyBorder="1"/>
    <xf numFmtId="0" fontId="188" fillId="38" borderId="58" xfId="0" applyFont="1" applyFill="1" applyBorder="1" applyAlignment="1">
      <alignment horizontal="center" vertical="top" wrapText="1"/>
    </xf>
    <xf numFmtId="172" fontId="188" fillId="38" borderId="59" xfId="11177" applyNumberFormat="1" applyFont="1" applyFill="1" applyBorder="1"/>
    <xf numFmtId="172" fontId="186" fillId="38" borderId="60" xfId="11177" applyNumberFormat="1" applyFont="1" applyFill="1" applyBorder="1" applyAlignment="1">
      <alignment vertical="center"/>
    </xf>
    <xf numFmtId="172" fontId="186" fillId="38" borderId="64" xfId="11177" applyNumberFormat="1" applyFont="1" applyFill="1" applyBorder="1" applyAlignment="1">
      <alignment vertical="center"/>
    </xf>
    <xf numFmtId="172" fontId="208" fillId="38" borderId="60" xfId="11177" applyNumberFormat="1" applyFont="1" applyFill="1" applyBorder="1" applyAlignment="1">
      <alignment vertical="center"/>
    </xf>
    <xf numFmtId="172" fontId="208" fillId="38" borderId="61" xfId="11177" applyNumberFormat="1" applyFont="1" applyFill="1" applyBorder="1" applyAlignment="1">
      <alignment vertical="center"/>
    </xf>
    <xf numFmtId="172" fontId="186" fillId="38" borderId="62" xfId="11177" applyNumberFormat="1" applyFont="1" applyFill="1" applyBorder="1" applyAlignment="1">
      <alignment vertical="center"/>
    </xf>
    <xf numFmtId="172" fontId="186" fillId="38" borderId="63" xfId="11177" applyNumberFormat="1" applyFont="1" applyFill="1" applyBorder="1" applyAlignment="1">
      <alignment vertical="center"/>
    </xf>
    <xf numFmtId="168" fontId="187" fillId="43" borderId="58" xfId="0" applyNumberFormat="1" applyFont="1" applyFill="1" applyBorder="1"/>
    <xf numFmtId="0" fontId="186" fillId="0" borderId="51" xfId="0" applyFont="1" applyFill="1" applyBorder="1" applyAlignment="1">
      <alignment vertical="top"/>
    </xf>
    <xf numFmtId="171" fontId="186" fillId="41" borderId="113" xfId="0" applyNumberFormat="1" applyFont="1" applyFill="1" applyBorder="1" applyAlignment="1">
      <alignment vertical="center"/>
    </xf>
    <xf numFmtId="171" fontId="186" fillId="41" borderId="109" xfId="0" applyNumberFormat="1" applyFont="1" applyFill="1" applyBorder="1" applyAlignment="1">
      <alignment vertical="center"/>
    </xf>
    <xf numFmtId="168" fontId="187" fillId="43" borderId="114" xfId="0" applyNumberFormat="1" applyFont="1" applyFill="1" applyBorder="1"/>
    <xf numFmtId="177" fontId="186" fillId="37" borderId="115" xfId="0" applyNumberFormat="1" applyFont="1" applyFill="1" applyBorder="1" applyAlignment="1">
      <alignment vertical="center"/>
    </xf>
    <xf numFmtId="177" fontId="186" fillId="37" borderId="116" xfId="0" applyNumberFormat="1" applyFont="1" applyFill="1" applyBorder="1" applyAlignment="1">
      <alignment vertical="center"/>
    </xf>
    <xf numFmtId="168" fontId="186" fillId="0" borderId="52" xfId="0" applyNumberFormat="1" applyFont="1" applyBorder="1"/>
    <xf numFmtId="0" fontId="187" fillId="0" borderId="9" xfId="0" applyFont="1" applyFill="1" applyBorder="1"/>
    <xf numFmtId="168" fontId="186" fillId="0" borderId="0" xfId="0" applyNumberFormat="1" applyFont="1" applyBorder="1"/>
    <xf numFmtId="0" fontId="186" fillId="0" borderId="3" xfId="0" applyFont="1" applyFill="1" applyBorder="1"/>
    <xf numFmtId="178" fontId="206" fillId="3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178" fontId="0" fillId="0" borderId="25" xfId="0" applyNumberFormat="1" applyBorder="1" applyAlignment="1">
      <alignment horizontal="center"/>
    </xf>
    <xf numFmtId="178" fontId="210" fillId="0" borderId="25" xfId="0" applyNumberFormat="1" applyFont="1" applyBorder="1" applyAlignment="1">
      <alignment horizontal="center"/>
    </xf>
    <xf numFmtId="178" fontId="0" fillId="44" borderId="25" xfId="0" applyNumberFormat="1" applyFill="1" applyBorder="1" applyAlignment="1">
      <alignment horizontal="center"/>
    </xf>
    <xf numFmtId="14" fontId="178" fillId="0" borderId="0" xfId="0" applyNumberFormat="1" applyFont="1" applyAlignment="1">
      <alignment horizontal="center"/>
    </xf>
    <xf numFmtId="178" fontId="178" fillId="0" borderId="0" xfId="11177" applyNumberFormat="1" applyFont="1" applyAlignment="1">
      <alignment horizontal="center"/>
    </xf>
    <xf numFmtId="178" fontId="178" fillId="0" borderId="0" xfId="0" applyNumberFormat="1" applyFont="1" applyAlignment="1">
      <alignment horizontal="center"/>
    </xf>
    <xf numFmtId="178" fontId="210" fillId="0" borderId="0" xfId="0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0" fontId="178" fillId="0" borderId="0" xfId="0" applyFont="1"/>
    <xf numFmtId="0" fontId="0" fillId="0" borderId="0" xfId="0" applyAlignment="1">
      <alignment horizontal="center"/>
    </xf>
    <xf numFmtId="178" fontId="0" fillId="0" borderId="0" xfId="11177" applyNumberFormat="1" applyFont="1" applyAlignment="1">
      <alignment horizontal="center"/>
    </xf>
    <xf numFmtId="178" fontId="178" fillId="45" borderId="0" xfId="0" applyNumberFormat="1" applyFont="1" applyFill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178" fontId="0" fillId="44" borderId="0" xfId="0" applyNumberFormat="1" applyFill="1" applyAlignment="1">
      <alignment horizontal="center"/>
    </xf>
    <xf numFmtId="14" fontId="178" fillId="0" borderId="25" xfId="0" applyNumberFormat="1" applyFont="1" applyBorder="1" applyAlignment="1">
      <alignment horizontal="center"/>
    </xf>
    <xf numFmtId="178" fontId="178" fillId="0" borderId="25" xfId="11177" applyNumberFormat="1" applyFont="1" applyBorder="1" applyAlignment="1">
      <alignment horizontal="center"/>
    </xf>
    <xf numFmtId="178" fontId="178" fillId="0" borderId="25" xfId="0" applyNumberFormat="1" applyFont="1" applyBorder="1" applyAlignment="1">
      <alignment horizontal="center"/>
    </xf>
    <xf numFmtId="178" fontId="178" fillId="45" borderId="25" xfId="0" applyNumberFormat="1" applyFont="1" applyFill="1" applyBorder="1" applyAlignment="1">
      <alignment horizontal="center"/>
    </xf>
    <xf numFmtId="0" fontId="178" fillId="0" borderId="25" xfId="0" applyFont="1" applyBorder="1"/>
    <xf numFmtId="178" fontId="0" fillId="45" borderId="0" xfId="0" applyNumberFormat="1" applyFill="1" applyAlignment="1">
      <alignment horizontal="center"/>
    </xf>
    <xf numFmtId="178" fontId="0" fillId="46" borderId="0" xfId="0" applyNumberFormat="1" applyFill="1" applyAlignment="1">
      <alignment horizontal="center"/>
    </xf>
    <xf numFmtId="178" fontId="0" fillId="45" borderId="25" xfId="0" applyNumberFormat="1" applyFill="1" applyBorder="1" applyAlignment="1">
      <alignment horizontal="center"/>
    </xf>
    <xf numFmtId="0" fontId="0" fillId="47" borderId="0" xfId="0" applyFill="1" applyAlignment="1">
      <alignment horizontal="center"/>
    </xf>
    <xf numFmtId="178" fontId="0" fillId="47" borderId="0" xfId="0" applyNumberFormat="1" applyFill="1" applyAlignment="1">
      <alignment horizontal="center"/>
    </xf>
    <xf numFmtId="178" fontId="210" fillId="47" borderId="0" xfId="0" applyNumberFormat="1" applyFont="1" applyFill="1" applyAlignment="1">
      <alignment horizontal="center"/>
    </xf>
    <xf numFmtId="178" fontId="178" fillId="47" borderId="0" xfId="0" applyNumberFormat="1" applyFont="1" applyFill="1" applyAlignment="1">
      <alignment horizontal="center"/>
    </xf>
    <xf numFmtId="0" fontId="0" fillId="47" borderId="0" xfId="0" applyFill="1"/>
    <xf numFmtId="178" fontId="0" fillId="47" borderId="0" xfId="0" applyNumberFormat="1" applyFont="1" applyFill="1" applyAlignment="1">
      <alignment horizontal="center"/>
    </xf>
    <xf numFmtId="14" fontId="178" fillId="47" borderId="25" xfId="0" applyNumberFormat="1" applyFont="1" applyFill="1" applyBorder="1" applyAlignment="1">
      <alignment horizontal="center"/>
    </xf>
    <xf numFmtId="178" fontId="178" fillId="47" borderId="25" xfId="11177" applyNumberFormat="1" applyFont="1" applyFill="1" applyBorder="1" applyAlignment="1">
      <alignment horizontal="center"/>
    </xf>
    <xf numFmtId="178" fontId="178" fillId="47" borderId="25" xfId="0" applyNumberFormat="1" applyFont="1" applyFill="1" applyBorder="1" applyAlignment="1">
      <alignment horizontal="center"/>
    </xf>
    <xf numFmtId="178" fontId="210" fillId="47" borderId="25" xfId="0" applyNumberFormat="1" applyFont="1" applyFill="1" applyBorder="1" applyAlignment="1">
      <alignment horizontal="center"/>
    </xf>
    <xf numFmtId="178" fontId="0" fillId="47" borderId="25" xfId="0" applyNumberFormat="1" applyFill="1" applyBorder="1" applyAlignment="1">
      <alignment horizontal="center"/>
    </xf>
    <xf numFmtId="0" fontId="178" fillId="47" borderId="25" xfId="0" applyFont="1" applyFill="1" applyBorder="1"/>
    <xf numFmtId="0" fontId="187" fillId="0" borderId="26" xfId="0" applyFont="1" applyFill="1" applyBorder="1" applyAlignment="1">
      <alignment horizontal="center" vertical="center"/>
    </xf>
    <xf numFmtId="0" fontId="187" fillId="0" borderId="48" xfId="0" applyFont="1" applyFill="1" applyBorder="1" applyAlignment="1">
      <alignment horizontal="center" vertical="center"/>
    </xf>
    <xf numFmtId="0" fontId="187" fillId="0" borderId="49" xfId="0" applyFont="1" applyFill="1" applyBorder="1" applyAlignment="1">
      <alignment horizontal="center" vertical="center"/>
    </xf>
    <xf numFmtId="0" fontId="187" fillId="0" borderId="26" xfId="0" applyFont="1" applyBorder="1" applyAlignment="1">
      <alignment horizontal="center" vertical="center"/>
    </xf>
    <xf numFmtId="0" fontId="187" fillId="0" borderId="48" xfId="0" applyFont="1" applyBorder="1" applyAlignment="1">
      <alignment horizontal="center" vertical="center"/>
    </xf>
    <xf numFmtId="0" fontId="187" fillId="0" borderId="49" xfId="0" applyFont="1" applyBorder="1" applyAlignment="1">
      <alignment horizontal="center" vertical="center"/>
    </xf>
    <xf numFmtId="9" fontId="187" fillId="0" borderId="26" xfId="0" applyNumberFormat="1" applyFont="1" applyBorder="1" applyAlignment="1">
      <alignment horizontal="center"/>
    </xf>
    <xf numFmtId="9" fontId="187" fillId="0" borderId="48" xfId="0" applyNumberFormat="1" applyFont="1" applyBorder="1" applyAlignment="1">
      <alignment horizontal="center"/>
    </xf>
    <xf numFmtId="9" fontId="187" fillId="0" borderId="49" xfId="0" applyNumberFormat="1" applyFont="1" applyBorder="1" applyAlignment="1">
      <alignment horizontal="center"/>
    </xf>
    <xf numFmtId="1" fontId="189" fillId="0" borderId="77" xfId="0" applyNumberFormat="1" applyFont="1" applyBorder="1" applyAlignment="1">
      <alignment horizontal="center" vertical="center"/>
    </xf>
    <xf numFmtId="1" fontId="189" fillId="0" borderId="49" xfId="0" applyNumberFormat="1" applyFont="1" applyBorder="1" applyAlignment="1">
      <alignment horizontal="center" vertical="center"/>
    </xf>
    <xf numFmtId="15" fontId="153" fillId="39" borderId="14" xfId="0" quotePrefix="1" applyNumberFormat="1" applyFont="1" applyFill="1" applyBorder="1" applyAlignment="1">
      <alignment horizontal="center"/>
    </xf>
    <xf numFmtId="15" fontId="153" fillId="39" borderId="15" xfId="0" quotePrefix="1" applyNumberFormat="1" applyFont="1" applyFill="1" applyBorder="1" applyAlignment="1">
      <alignment horizontal="center"/>
    </xf>
    <xf numFmtId="0" fontId="203" fillId="0" borderId="26" xfId="0" applyFont="1" applyFill="1" applyBorder="1" applyAlignment="1" applyProtection="1">
      <alignment horizontal="center" vertical="center"/>
      <protection locked="0"/>
    </xf>
    <xf numFmtId="0" fontId="203" fillId="0" borderId="49" xfId="0" applyFont="1" applyFill="1" applyBorder="1" applyAlignment="1" applyProtection="1">
      <alignment horizontal="center" vertical="center"/>
      <protection locked="0"/>
    </xf>
    <xf numFmtId="0" fontId="203" fillId="0" borderId="48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E75"/>
  <sheetViews>
    <sheetView tabSelected="1" zoomScaleNormal="100" zoomScaleSheetLayoutView="85" workbookViewId="0">
      <selection activeCell="F46" sqref="F46"/>
    </sheetView>
  </sheetViews>
  <sheetFormatPr defaultRowHeight="12.75" customHeight="1" x14ac:dyDescent="0.2"/>
  <cols>
    <col min="1" max="1" width="3" style="86" customWidth="1"/>
    <col min="2" max="2" width="44.85546875" style="86" customWidth="1"/>
    <col min="3" max="7" width="11" style="84" customWidth="1"/>
    <col min="8" max="8" width="5.140625" style="207" hidden="1" customWidth="1"/>
    <col min="9" max="9" width="11" style="84" customWidth="1"/>
    <col min="10" max="10" width="11" style="107" hidden="1" customWidth="1"/>
    <col min="11" max="11" width="11" style="86" customWidth="1"/>
    <col min="12" max="12" width="11" style="107" hidden="1" customWidth="1"/>
    <col min="13" max="13" width="11" style="86" hidden="1" customWidth="1"/>
    <col min="14" max="14" width="10.28515625" style="86" customWidth="1"/>
    <col min="15" max="15" width="8.140625" style="86" customWidth="1"/>
    <col min="16" max="16" width="40.7109375" style="86" customWidth="1"/>
    <col min="17" max="17" width="10.28515625" style="86" customWidth="1"/>
    <col min="18" max="21" width="10.7109375" style="86" customWidth="1"/>
    <col min="22" max="22" width="11.5703125" style="86" bestFit="1" customWidth="1"/>
    <col min="23" max="29" width="10.7109375" style="86" customWidth="1"/>
    <col min="30" max="30" width="12" style="87" bestFit="1" customWidth="1"/>
    <col min="31" max="31" width="9.140625" style="86" customWidth="1"/>
    <col min="32" max="16384" width="9.140625" style="86"/>
  </cols>
  <sheetData>
    <row r="1" spans="1:31" ht="12.75" customHeight="1" x14ac:dyDescent="0.2">
      <c r="B1" s="85" t="s">
        <v>774</v>
      </c>
      <c r="E1" s="126"/>
      <c r="I1" s="126"/>
      <c r="J1" s="127"/>
      <c r="K1" s="128"/>
      <c r="L1" s="88"/>
      <c r="M1" s="89"/>
    </row>
    <row r="2" spans="1:31" ht="12.75" customHeight="1" x14ac:dyDescent="0.25">
      <c r="B2" s="90" t="s">
        <v>1000</v>
      </c>
      <c r="C2" s="125"/>
      <c r="D2" s="95"/>
      <c r="E2" s="125"/>
      <c r="F2" s="125"/>
      <c r="G2" s="95"/>
      <c r="H2" s="208"/>
      <c r="I2" s="125"/>
      <c r="J2" s="125"/>
      <c r="K2" s="129"/>
      <c r="L2" s="123">
        <v>227</v>
      </c>
      <c r="M2" s="93"/>
      <c r="O2" s="97"/>
      <c r="P2" s="97"/>
    </row>
    <row r="3" spans="1:31" ht="12.75" customHeight="1" x14ac:dyDescent="0.2">
      <c r="B3" s="131">
        <v>42855</v>
      </c>
      <c r="C3" s="95"/>
      <c r="D3" s="95"/>
      <c r="E3" s="125"/>
      <c r="F3" s="95"/>
      <c r="G3" s="95"/>
      <c r="H3" s="208"/>
      <c r="I3" s="125"/>
      <c r="J3" s="130"/>
      <c r="K3" s="129"/>
      <c r="L3" s="124">
        <v>232</v>
      </c>
      <c r="M3" s="124">
        <v>213</v>
      </c>
      <c r="N3" s="101"/>
      <c r="O3" s="97"/>
      <c r="P3" s="97"/>
    </row>
    <row r="4" spans="1:31" ht="12.75" customHeight="1" thickBot="1" x14ac:dyDescent="0.25">
      <c r="B4" s="89"/>
      <c r="C4" s="91"/>
      <c r="D4" s="91"/>
      <c r="E4" s="91"/>
      <c r="F4" s="91"/>
      <c r="G4" s="91"/>
      <c r="H4" s="209"/>
      <c r="I4" s="91"/>
      <c r="J4" s="91"/>
      <c r="K4" s="91"/>
      <c r="L4" s="91"/>
      <c r="M4" s="91"/>
      <c r="N4" s="101"/>
      <c r="O4" s="97"/>
      <c r="P4" s="176" t="s">
        <v>1010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31" ht="12.75" customHeight="1" thickBot="1" x14ac:dyDescent="0.25">
      <c r="B5" s="89"/>
      <c r="C5" s="427" t="s">
        <v>1028</v>
      </c>
      <c r="D5" s="428"/>
      <c r="E5" s="429"/>
      <c r="F5" s="430" t="s">
        <v>974</v>
      </c>
      <c r="G5" s="431"/>
      <c r="H5" s="431"/>
      <c r="I5" s="432"/>
      <c r="J5" s="427" t="s">
        <v>988</v>
      </c>
      <c r="K5" s="428"/>
      <c r="L5" s="428"/>
      <c r="M5" s="429"/>
      <c r="N5" s="144"/>
      <c r="O5" s="97"/>
      <c r="P5" s="433" t="s">
        <v>1009</v>
      </c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5"/>
    </row>
    <row r="6" spans="1:31" s="96" customFormat="1" ht="26.25" thickBot="1" x14ac:dyDescent="0.25">
      <c r="B6" s="92"/>
      <c r="C6" s="244" t="s">
        <v>1025</v>
      </c>
      <c r="D6" s="266" t="s">
        <v>987</v>
      </c>
      <c r="E6" s="119" t="s">
        <v>1026</v>
      </c>
      <c r="F6" s="244" t="s">
        <v>1025</v>
      </c>
      <c r="G6" s="266" t="s">
        <v>987</v>
      </c>
      <c r="H6" s="267" t="s">
        <v>1013</v>
      </c>
      <c r="I6" s="119" t="s">
        <v>1026</v>
      </c>
      <c r="J6" s="118" t="s">
        <v>987</v>
      </c>
      <c r="K6" s="255" t="s">
        <v>1026</v>
      </c>
      <c r="L6" s="256" t="s">
        <v>1003</v>
      </c>
      <c r="M6" s="371" t="s">
        <v>998</v>
      </c>
      <c r="N6" s="380"/>
      <c r="P6" s="148"/>
      <c r="Q6" s="198" t="s">
        <v>1016</v>
      </c>
      <c r="R6" s="150">
        <v>42736</v>
      </c>
      <c r="S6" s="150">
        <v>42767</v>
      </c>
      <c r="T6" s="150">
        <v>42795</v>
      </c>
      <c r="U6" s="150">
        <v>42826</v>
      </c>
      <c r="V6" s="150">
        <v>42856</v>
      </c>
      <c r="W6" s="150">
        <v>42887</v>
      </c>
      <c r="X6" s="150">
        <v>42917</v>
      </c>
      <c r="Y6" s="150">
        <v>42948</v>
      </c>
      <c r="Z6" s="150">
        <v>42979</v>
      </c>
      <c r="AA6" s="150">
        <v>43009</v>
      </c>
      <c r="AB6" s="150">
        <v>43040</v>
      </c>
      <c r="AC6" s="150">
        <v>43070</v>
      </c>
      <c r="AD6" s="436" t="s">
        <v>1011</v>
      </c>
      <c r="AE6" s="437"/>
    </row>
    <row r="7" spans="1:31" ht="12.75" customHeight="1" x14ac:dyDescent="0.2">
      <c r="B7" s="98" t="s">
        <v>119</v>
      </c>
      <c r="C7" s="245"/>
      <c r="D7" s="268"/>
      <c r="E7" s="121"/>
      <c r="F7" s="245"/>
      <c r="G7" s="268"/>
      <c r="H7" s="269"/>
      <c r="I7" s="121"/>
      <c r="J7" s="120"/>
      <c r="K7" s="221"/>
      <c r="L7" s="222"/>
      <c r="M7" s="372"/>
      <c r="N7" s="144"/>
      <c r="P7" s="133" t="s">
        <v>119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3"/>
      <c r="AE7" s="164"/>
    </row>
    <row r="8" spans="1:31" ht="12.75" customHeight="1" x14ac:dyDescent="0.2">
      <c r="B8" s="200" t="s">
        <v>782</v>
      </c>
      <c r="C8" s="245">
        <f>'TB (2) - April'!C36</f>
        <v>0</v>
      </c>
      <c r="D8" s="276">
        <f>+C8-E8</f>
        <v>0</v>
      </c>
      <c r="E8" s="246">
        <f>R8</f>
        <v>0</v>
      </c>
      <c r="F8" s="245">
        <f>-TB!C36</f>
        <v>12</v>
      </c>
      <c r="G8" s="270">
        <f>+F8-I8</f>
        <v>12</v>
      </c>
      <c r="H8" s="271">
        <f>IFERROR(ROUND((G8/ABS(I8))*100,0),0)</f>
        <v>0</v>
      </c>
      <c r="I8" s="246">
        <f t="shared" ref="I8:I17" si="0">ROUND(SUMIF($R$6:$AC$6,"&lt;="&amp;$B$3,R8:AC8),2)</f>
        <v>0</v>
      </c>
      <c r="J8" s="223">
        <f t="shared" ref="J8:J17" si="1">+F8-K8</f>
        <v>12</v>
      </c>
      <c r="K8" s="224">
        <v>0</v>
      </c>
      <c r="L8" s="225">
        <f t="shared" ref="L8:L17" si="2">+F8-M8</f>
        <v>-488</v>
      </c>
      <c r="M8" s="373">
        <v>500</v>
      </c>
      <c r="N8" s="144"/>
      <c r="P8" s="161" t="s">
        <v>782</v>
      </c>
      <c r="Q8" s="183">
        <v>0</v>
      </c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89">
        <f t="shared" ref="AD8:AD17" si="3">SUM(R8:AC8)</f>
        <v>0</v>
      </c>
      <c r="AE8" s="134" t="b">
        <f t="shared" ref="AE8:AE18" si="4">AD8=Q8</f>
        <v>1</v>
      </c>
    </row>
    <row r="9" spans="1:31" ht="12.75" customHeight="1" x14ac:dyDescent="0.2">
      <c r="B9" s="203" t="s">
        <v>929</v>
      </c>
      <c r="C9" s="247">
        <f>+C10+C11</f>
        <v>1165.2</v>
      </c>
      <c r="D9" s="272">
        <f t="shared" ref="D9:D17" si="5">+C9-E9</f>
        <v>1165.2</v>
      </c>
      <c r="E9" s="248">
        <f t="shared" ref="E9:E17" si="6">R9</f>
        <v>0</v>
      </c>
      <c r="F9" s="247">
        <f>+F10+F11</f>
        <v>89858.42</v>
      </c>
      <c r="G9" s="272">
        <f t="shared" ref="G9:G13" si="7">+F9-I9</f>
        <v>0</v>
      </c>
      <c r="H9" s="275">
        <f>IFERROR(ROUND((G9/ABS(I9))*100,0),0)</f>
        <v>0</v>
      </c>
      <c r="I9" s="248">
        <f t="shared" si="0"/>
        <v>89858.42</v>
      </c>
      <c r="J9" s="226">
        <f t="shared" si="1"/>
        <v>-28141.58</v>
      </c>
      <c r="K9" s="360">
        <v>118000</v>
      </c>
      <c r="L9" s="227">
        <f t="shared" si="2"/>
        <v>-2087.5800000000017</v>
      </c>
      <c r="M9" s="374">
        <v>91946</v>
      </c>
      <c r="N9" s="144"/>
      <c r="O9" s="100">
        <f>SUM(O10:O11)</f>
        <v>1</v>
      </c>
      <c r="P9" s="135" t="s">
        <v>929</v>
      </c>
      <c r="Q9" s="179">
        <v>118000</v>
      </c>
      <c r="R9" s="152"/>
      <c r="S9" s="152">
        <f>S10</f>
        <v>73267.509999999995</v>
      </c>
      <c r="T9" s="152">
        <f>SUM(T10:T11)</f>
        <v>15425.71</v>
      </c>
      <c r="U9" s="152">
        <f t="shared" ref="U9:AC9" si="8">SUM(U10:U11)</f>
        <v>1165.2</v>
      </c>
      <c r="V9" s="152">
        <f t="shared" si="8"/>
        <v>3517.6899999999996</v>
      </c>
      <c r="W9" s="152">
        <f t="shared" si="8"/>
        <v>3517.6899999999996</v>
      </c>
      <c r="X9" s="152">
        <f t="shared" si="8"/>
        <v>3517.6899999999996</v>
      </c>
      <c r="Y9" s="152">
        <f t="shared" si="8"/>
        <v>3517.6899999999996</v>
      </c>
      <c r="Z9" s="152">
        <f t="shared" si="8"/>
        <v>3517.7</v>
      </c>
      <c r="AA9" s="152">
        <f t="shared" si="8"/>
        <v>3517.7</v>
      </c>
      <c r="AB9" s="152">
        <f t="shared" si="8"/>
        <v>3517.7</v>
      </c>
      <c r="AC9" s="152">
        <f>SUM(AC10:AC11)</f>
        <v>3517.72</v>
      </c>
      <c r="AD9" s="190">
        <f t="shared" si="3"/>
        <v>118000</v>
      </c>
      <c r="AE9" s="160" t="b">
        <f t="shared" si="4"/>
        <v>1</v>
      </c>
    </row>
    <row r="10" spans="1:31" ht="12.75" customHeight="1" x14ac:dyDescent="0.2">
      <c r="A10" s="101"/>
      <c r="B10" s="204" t="s">
        <v>957</v>
      </c>
      <c r="C10" s="245">
        <f>-'TB (2) - April'!D33</f>
        <v>1165.2</v>
      </c>
      <c r="D10" s="270">
        <f t="shared" si="5"/>
        <v>1165.2</v>
      </c>
      <c r="E10" s="246">
        <f t="shared" si="6"/>
        <v>0</v>
      </c>
      <c r="F10" s="245">
        <f>-TB!D33</f>
        <v>88240.54</v>
      </c>
      <c r="G10" s="270">
        <f t="shared" si="7"/>
        <v>0</v>
      </c>
      <c r="H10" s="271">
        <f t="shared" ref="H10:H43" si="9">IFERROR(ROUND((G10/ABS(I10))*100,0),0)</f>
        <v>0</v>
      </c>
      <c r="I10" s="246">
        <f t="shared" si="0"/>
        <v>88240.54</v>
      </c>
      <c r="J10" s="223">
        <f t="shared" si="1"/>
        <v>-19759.460000000006</v>
      </c>
      <c r="K10" s="224">
        <v>108000</v>
      </c>
      <c r="L10" s="228">
        <f t="shared" si="2"/>
        <v>7328.0599999999977</v>
      </c>
      <c r="M10" s="375">
        <v>80912.479999999996</v>
      </c>
      <c r="N10" s="144"/>
      <c r="O10" s="102">
        <f>K10/K9</f>
        <v>0.9152542372881356</v>
      </c>
      <c r="P10" s="137" t="s">
        <v>957</v>
      </c>
      <c r="Q10" s="180">
        <v>108000</v>
      </c>
      <c r="R10" s="153">
        <f t="shared" ref="R10" si="10">R9*$O10</f>
        <v>0</v>
      </c>
      <c r="S10" s="153">
        <v>73267.509999999995</v>
      </c>
      <c r="T10" s="153">
        <v>13807.83</v>
      </c>
      <c r="U10" s="153">
        <v>1165.2</v>
      </c>
      <c r="V10" s="153">
        <v>2469.9299999999998</v>
      </c>
      <c r="W10" s="153">
        <v>2469.9299999999998</v>
      </c>
      <c r="X10" s="153">
        <v>2469.9299999999998</v>
      </c>
      <c r="Y10" s="153">
        <v>2469.9299999999998</v>
      </c>
      <c r="Z10" s="153">
        <v>2469.9299999999998</v>
      </c>
      <c r="AA10" s="153">
        <v>2469.9299999999998</v>
      </c>
      <c r="AB10" s="153">
        <v>2469.9299999999998</v>
      </c>
      <c r="AC10" s="153">
        <v>2469.9499999999998</v>
      </c>
      <c r="AD10" s="191">
        <f t="shared" si="3"/>
        <v>107999.99999999994</v>
      </c>
      <c r="AE10" s="134" t="b">
        <f t="shared" si="4"/>
        <v>1</v>
      </c>
    </row>
    <row r="11" spans="1:31" ht="12.75" customHeight="1" x14ac:dyDescent="0.2">
      <c r="A11" s="101"/>
      <c r="B11" s="205" t="s">
        <v>958</v>
      </c>
      <c r="C11" s="249">
        <f>'TB (2) - April'!D35</f>
        <v>0</v>
      </c>
      <c r="D11" s="274">
        <f t="shared" si="5"/>
        <v>0</v>
      </c>
      <c r="E11" s="250">
        <f t="shared" si="6"/>
        <v>0</v>
      </c>
      <c r="F11" s="249">
        <f>-TB!D35</f>
        <v>1617.88</v>
      </c>
      <c r="G11" s="274">
        <f t="shared" si="7"/>
        <v>0</v>
      </c>
      <c r="H11" s="275">
        <f t="shared" si="9"/>
        <v>0</v>
      </c>
      <c r="I11" s="250">
        <f t="shared" si="0"/>
        <v>1617.88</v>
      </c>
      <c r="J11" s="229">
        <f t="shared" si="1"/>
        <v>-8382.119999999999</v>
      </c>
      <c r="K11" s="230">
        <v>10000</v>
      </c>
      <c r="L11" s="231">
        <f t="shared" si="2"/>
        <v>-9415.64</v>
      </c>
      <c r="M11" s="376">
        <v>11033.52</v>
      </c>
      <c r="N11" s="144"/>
      <c r="O11" s="102">
        <f>K11/K9</f>
        <v>8.4745762711864403E-2</v>
      </c>
      <c r="P11" s="138" t="s">
        <v>958</v>
      </c>
      <c r="Q11" s="181">
        <v>10000</v>
      </c>
      <c r="R11" s="154">
        <f>R$9*$O11</f>
        <v>0</v>
      </c>
      <c r="S11" s="154"/>
      <c r="T11" s="154">
        <v>1617.88</v>
      </c>
      <c r="U11" s="154"/>
      <c r="V11" s="154">
        <v>1047.76</v>
      </c>
      <c r="W11" s="154">
        <v>1047.76</v>
      </c>
      <c r="X11" s="154">
        <v>1047.76</v>
      </c>
      <c r="Y11" s="154">
        <v>1047.76</v>
      </c>
      <c r="Z11" s="154">
        <v>1047.77</v>
      </c>
      <c r="AA11" s="154">
        <v>1047.77</v>
      </c>
      <c r="AB11" s="154">
        <v>1047.77</v>
      </c>
      <c r="AC11" s="154">
        <v>1047.77</v>
      </c>
      <c r="AD11" s="190">
        <f t="shared" si="3"/>
        <v>10000.000000000002</v>
      </c>
      <c r="AE11" s="160" t="b">
        <f t="shared" si="4"/>
        <v>1</v>
      </c>
    </row>
    <row r="12" spans="1:31" ht="12.75" customHeight="1" x14ac:dyDescent="0.2">
      <c r="B12" s="206" t="s">
        <v>3</v>
      </c>
      <c r="C12" s="251">
        <f>-'TB (2) - April'!D40-'TB (2) - April'!D44</f>
        <v>214.8</v>
      </c>
      <c r="D12" s="276">
        <f t="shared" si="5"/>
        <v>-285.2</v>
      </c>
      <c r="E12" s="252">
        <f t="shared" si="6"/>
        <v>500</v>
      </c>
      <c r="F12" s="251">
        <f>-TB!D40-TB!D44</f>
        <v>730.8</v>
      </c>
      <c r="G12" s="276">
        <f t="shared" si="7"/>
        <v>-1269.2</v>
      </c>
      <c r="H12" s="277">
        <f t="shared" si="9"/>
        <v>-63</v>
      </c>
      <c r="I12" s="252">
        <f t="shared" si="0"/>
        <v>2000</v>
      </c>
      <c r="J12" s="232">
        <f t="shared" si="1"/>
        <v>-5269.2</v>
      </c>
      <c r="K12" s="233">
        <v>6000</v>
      </c>
      <c r="L12" s="234">
        <f t="shared" si="2"/>
        <v>-7769.2</v>
      </c>
      <c r="M12" s="377">
        <v>8500</v>
      </c>
      <c r="N12" s="144"/>
      <c r="O12" s="100"/>
      <c r="P12" s="139" t="s">
        <v>3</v>
      </c>
      <c r="Q12" s="182">
        <v>6000</v>
      </c>
      <c r="R12" s="151">
        <f t="shared" ref="R12:AC12" si="11">$Q12/12</f>
        <v>500</v>
      </c>
      <c r="S12" s="151">
        <f t="shared" si="11"/>
        <v>500</v>
      </c>
      <c r="T12" s="151">
        <f t="shared" si="11"/>
        <v>500</v>
      </c>
      <c r="U12" s="151">
        <f t="shared" si="11"/>
        <v>500</v>
      </c>
      <c r="V12" s="151">
        <f t="shared" si="11"/>
        <v>500</v>
      </c>
      <c r="W12" s="151">
        <f t="shared" si="11"/>
        <v>500</v>
      </c>
      <c r="X12" s="151">
        <f t="shared" si="11"/>
        <v>500</v>
      </c>
      <c r="Y12" s="151">
        <f t="shared" si="11"/>
        <v>500</v>
      </c>
      <c r="Z12" s="151">
        <f t="shared" si="11"/>
        <v>500</v>
      </c>
      <c r="AA12" s="151">
        <f t="shared" si="11"/>
        <v>500</v>
      </c>
      <c r="AB12" s="151">
        <f t="shared" si="11"/>
        <v>500</v>
      </c>
      <c r="AC12" s="151">
        <f t="shared" si="11"/>
        <v>500</v>
      </c>
      <c r="AD12" s="191">
        <f t="shared" si="3"/>
        <v>6000</v>
      </c>
      <c r="AE12" s="134" t="b">
        <f t="shared" si="4"/>
        <v>1</v>
      </c>
    </row>
    <row r="13" spans="1:31" ht="12.75" customHeight="1" x14ac:dyDescent="0.2">
      <c r="B13" s="201" t="s">
        <v>775</v>
      </c>
      <c r="C13" s="253">
        <f>'TB (2) - April'!D42-'TB (2) - April'!D45</f>
        <v>11309.38</v>
      </c>
      <c r="D13" s="276">
        <f t="shared" si="5"/>
        <v>-17857.286666666667</v>
      </c>
      <c r="E13" s="254">
        <f t="shared" si="6"/>
        <v>29166.666666666668</v>
      </c>
      <c r="F13" s="253">
        <f>-TB!D42-TB!D45</f>
        <v>100355.22</v>
      </c>
      <c r="G13" s="278">
        <f t="shared" si="7"/>
        <v>-16311.449999999997</v>
      </c>
      <c r="H13" s="279">
        <f t="shared" si="9"/>
        <v>-14</v>
      </c>
      <c r="I13" s="254">
        <f t="shared" si="0"/>
        <v>116666.67</v>
      </c>
      <c r="J13" s="235">
        <f t="shared" si="1"/>
        <v>-249644.78</v>
      </c>
      <c r="K13" s="236">
        <v>350000</v>
      </c>
      <c r="L13" s="237">
        <f t="shared" si="2"/>
        <v>-206944.78</v>
      </c>
      <c r="M13" s="378">
        <v>307300</v>
      </c>
      <c r="N13" s="144"/>
      <c r="O13" s="100"/>
      <c r="P13" s="140" t="s">
        <v>775</v>
      </c>
      <c r="Q13" s="183">
        <v>350000</v>
      </c>
      <c r="R13" s="155">
        <f t="shared" ref="R13:AC13" si="12">$Q13/12</f>
        <v>29166.666666666668</v>
      </c>
      <c r="S13" s="155">
        <f t="shared" si="12"/>
        <v>29166.666666666668</v>
      </c>
      <c r="T13" s="155">
        <f t="shared" si="12"/>
        <v>29166.666666666668</v>
      </c>
      <c r="U13" s="155">
        <f t="shared" si="12"/>
        <v>29166.666666666668</v>
      </c>
      <c r="V13" s="155">
        <f t="shared" si="12"/>
        <v>29166.666666666668</v>
      </c>
      <c r="W13" s="155">
        <f t="shared" si="12"/>
        <v>29166.666666666668</v>
      </c>
      <c r="X13" s="155">
        <f t="shared" si="12"/>
        <v>29166.666666666668</v>
      </c>
      <c r="Y13" s="155">
        <f t="shared" si="12"/>
        <v>29166.666666666668</v>
      </c>
      <c r="Z13" s="155">
        <f t="shared" si="12"/>
        <v>29166.666666666668</v>
      </c>
      <c r="AA13" s="155">
        <f t="shared" si="12"/>
        <v>29166.666666666668</v>
      </c>
      <c r="AB13" s="155">
        <f t="shared" si="12"/>
        <v>29166.666666666668</v>
      </c>
      <c r="AC13" s="155">
        <f t="shared" si="12"/>
        <v>29166.666666666668</v>
      </c>
      <c r="AD13" s="192">
        <f t="shared" si="3"/>
        <v>350000.00000000006</v>
      </c>
      <c r="AE13" s="136" t="b">
        <f t="shared" si="4"/>
        <v>1</v>
      </c>
    </row>
    <row r="14" spans="1:31" ht="12.75" customHeight="1" x14ac:dyDescent="0.2">
      <c r="B14" s="201" t="s">
        <v>963</v>
      </c>
      <c r="C14" s="253">
        <f>'TB (2) - April'!D46</f>
        <v>0</v>
      </c>
      <c r="D14" s="278">
        <f t="shared" si="5"/>
        <v>0</v>
      </c>
      <c r="E14" s="254">
        <f t="shared" si="6"/>
        <v>0</v>
      </c>
      <c r="F14" s="253">
        <f>-TB!D46</f>
        <v>0</v>
      </c>
      <c r="G14" s="278">
        <f t="shared" ref="G14:G16" si="13">+F14-I14</f>
        <v>0</v>
      </c>
      <c r="H14" s="279">
        <f t="shared" si="9"/>
        <v>0</v>
      </c>
      <c r="I14" s="254">
        <f t="shared" si="0"/>
        <v>0</v>
      </c>
      <c r="J14" s="235">
        <f t="shared" si="1"/>
        <v>0</v>
      </c>
      <c r="K14" s="236">
        <v>0</v>
      </c>
      <c r="L14" s="237">
        <f t="shared" si="2"/>
        <v>0</v>
      </c>
      <c r="M14" s="378"/>
      <c r="N14" s="144"/>
      <c r="O14" s="100"/>
      <c r="P14" s="140" t="s">
        <v>963</v>
      </c>
      <c r="Q14" s="183">
        <v>0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92">
        <f t="shared" si="3"/>
        <v>0</v>
      </c>
      <c r="AE14" s="136" t="b">
        <f t="shared" si="4"/>
        <v>1</v>
      </c>
    </row>
    <row r="15" spans="1:31" ht="12.75" customHeight="1" x14ac:dyDescent="0.2">
      <c r="B15" s="201" t="s">
        <v>985</v>
      </c>
      <c r="C15" s="253">
        <f>-'TB (2) - April'!D50-'TB (2) - April'!D51-'TB (2) - April'!D52</f>
        <v>0</v>
      </c>
      <c r="D15" s="278">
        <f t="shared" si="5"/>
        <v>0</v>
      </c>
      <c r="E15" s="254">
        <f t="shared" si="6"/>
        <v>0</v>
      </c>
      <c r="F15" s="253">
        <f>-TB!D50-TB!D51-TB!D52</f>
        <v>525</v>
      </c>
      <c r="G15" s="278">
        <f t="shared" si="13"/>
        <v>525</v>
      </c>
      <c r="H15" s="279">
        <f t="shared" si="9"/>
        <v>0</v>
      </c>
      <c r="I15" s="254">
        <f t="shared" si="0"/>
        <v>0</v>
      </c>
      <c r="J15" s="235">
        <f t="shared" si="1"/>
        <v>525</v>
      </c>
      <c r="K15" s="236">
        <v>0</v>
      </c>
      <c r="L15" s="237">
        <f t="shared" si="2"/>
        <v>-70308</v>
      </c>
      <c r="M15" s="378">
        <v>70833</v>
      </c>
      <c r="N15" s="144"/>
      <c r="O15" s="100"/>
      <c r="P15" s="140" t="s">
        <v>985</v>
      </c>
      <c r="Q15" s="183">
        <v>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92">
        <f t="shared" ref="AD15" si="14">SUM(R15:AC15)</f>
        <v>0</v>
      </c>
      <c r="AE15" s="136" t="b">
        <f t="shared" ref="AE15" si="15">AD15=Q15</f>
        <v>1</v>
      </c>
    </row>
    <row r="16" spans="1:31" ht="12.75" customHeight="1" x14ac:dyDescent="0.2">
      <c r="B16" s="201" t="s">
        <v>847</v>
      </c>
      <c r="C16" s="253">
        <f>'TB (2) - April'!D44</f>
        <v>0</v>
      </c>
      <c r="D16" s="276">
        <f t="shared" si="5"/>
        <v>0</v>
      </c>
      <c r="E16" s="254">
        <f t="shared" si="6"/>
        <v>0</v>
      </c>
      <c r="F16" s="253">
        <f>-TB!D48</f>
        <v>0</v>
      </c>
      <c r="G16" s="278">
        <f t="shared" si="13"/>
        <v>0</v>
      </c>
      <c r="H16" s="279">
        <f t="shared" si="9"/>
        <v>0</v>
      </c>
      <c r="I16" s="254">
        <f t="shared" si="0"/>
        <v>0</v>
      </c>
      <c r="J16" s="235">
        <f t="shared" si="1"/>
        <v>0</v>
      </c>
      <c r="K16" s="236">
        <v>0</v>
      </c>
      <c r="L16" s="237">
        <f t="shared" si="2"/>
        <v>0</v>
      </c>
      <c r="M16" s="378"/>
      <c r="N16" s="144"/>
      <c r="O16" s="100"/>
      <c r="P16" s="140" t="s">
        <v>847</v>
      </c>
      <c r="Q16" s="183">
        <v>0</v>
      </c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92">
        <f t="shared" si="3"/>
        <v>0</v>
      </c>
      <c r="AE16" s="136" t="b">
        <f t="shared" si="4"/>
        <v>1</v>
      </c>
    </row>
    <row r="17" spans="1:31" ht="12.75" customHeight="1" thickBot="1" x14ac:dyDescent="0.25">
      <c r="B17" s="202" t="s">
        <v>1002</v>
      </c>
      <c r="C17" s="247">
        <f>-'TB (2) - April'!D38-'TB (2) - April'!D39</f>
        <v>1489.58</v>
      </c>
      <c r="D17" s="276">
        <f t="shared" si="5"/>
        <v>1489.58</v>
      </c>
      <c r="E17" s="248">
        <f t="shared" si="6"/>
        <v>0</v>
      </c>
      <c r="F17" s="247">
        <f>-TB!D38-TB!D39</f>
        <v>1489.58</v>
      </c>
      <c r="G17" s="272">
        <f>+F17-I17</f>
        <v>-10.420000000000073</v>
      </c>
      <c r="H17" s="273">
        <f t="shared" si="9"/>
        <v>-1</v>
      </c>
      <c r="I17" s="248">
        <f t="shared" si="0"/>
        <v>1500</v>
      </c>
      <c r="J17" s="226">
        <f t="shared" si="1"/>
        <v>-4510.42</v>
      </c>
      <c r="K17" s="361">
        <v>6000</v>
      </c>
      <c r="L17" s="227">
        <f t="shared" si="2"/>
        <v>-4608.1400000000003</v>
      </c>
      <c r="M17" s="374">
        <v>6097.72</v>
      </c>
      <c r="N17" s="144"/>
      <c r="O17" s="100"/>
      <c r="P17" s="141" t="s">
        <v>1002</v>
      </c>
      <c r="Q17" s="184">
        <v>6000</v>
      </c>
      <c r="R17" s="156"/>
      <c r="S17" s="156"/>
      <c r="T17" s="156">
        <f>$Q17/4</f>
        <v>1500</v>
      </c>
      <c r="U17" s="156"/>
      <c r="V17" s="156"/>
      <c r="W17" s="156">
        <f>$Q17/4</f>
        <v>1500</v>
      </c>
      <c r="X17" s="156"/>
      <c r="Y17" s="156"/>
      <c r="Z17" s="156">
        <f>$Q17/4</f>
        <v>1500</v>
      </c>
      <c r="AA17" s="156"/>
      <c r="AB17" s="156"/>
      <c r="AC17" s="156">
        <f>$Q17/4</f>
        <v>1500</v>
      </c>
      <c r="AD17" s="193">
        <f t="shared" si="3"/>
        <v>6000</v>
      </c>
      <c r="AE17" s="142" t="b">
        <f t="shared" si="4"/>
        <v>1</v>
      </c>
    </row>
    <row r="18" spans="1:31" ht="12.75" customHeight="1" thickBot="1" x14ac:dyDescent="0.25">
      <c r="B18" s="219" t="s">
        <v>142</v>
      </c>
      <c r="C18" s="238">
        <f>SUBTOTAL(9,C8:C17)-C9</f>
        <v>14178.96</v>
      </c>
      <c r="D18" s="280">
        <f>+C18-E18</f>
        <v>-15487.706666666669</v>
      </c>
      <c r="E18" s="240">
        <f>SUM(E8:E17)-E9</f>
        <v>29666.666666666668</v>
      </c>
      <c r="F18" s="238">
        <f>SUBTOTAL(9,F8:F17)-F9</f>
        <v>192971.02000000002</v>
      </c>
      <c r="G18" s="280">
        <f>+F18-I18</f>
        <v>-17054.070000000007</v>
      </c>
      <c r="H18" s="281">
        <f t="shared" si="9"/>
        <v>-8</v>
      </c>
      <c r="I18" s="238">
        <f>SUBTOTAL(9,I8:I17)-I9</f>
        <v>210025.09000000003</v>
      </c>
      <c r="J18" s="238">
        <f>+F18-K18</f>
        <v>-287028.98</v>
      </c>
      <c r="K18" s="239">
        <f>SUM(K8:K17)-K9</f>
        <v>480000</v>
      </c>
      <c r="L18" s="220">
        <f>SUBTOTAL(9,L8:L17)-L9</f>
        <v>-292205.7</v>
      </c>
      <c r="M18" s="379">
        <f>SUBTOTAL(9,M8:M17)-M9</f>
        <v>485176.72</v>
      </c>
      <c r="N18" s="144"/>
      <c r="O18" s="386"/>
      <c r="P18" s="143" t="s">
        <v>142</v>
      </c>
      <c r="Q18" s="132">
        <f>SUM(Q8:Q17)-Q9</f>
        <v>480000</v>
      </c>
      <c r="R18" s="175">
        <f>SUM(R8:R17)-R9</f>
        <v>29666.666666666668</v>
      </c>
      <c r="S18" s="175">
        <f t="shared" ref="S18:AC18" si="16">SUM(S8:S17)-S9</f>
        <v>102934.17666666665</v>
      </c>
      <c r="T18" s="175">
        <f t="shared" si="16"/>
        <v>46592.376666666671</v>
      </c>
      <c r="U18" s="175">
        <f t="shared" si="16"/>
        <v>30831.866666666669</v>
      </c>
      <c r="V18" s="175">
        <f t="shared" si="16"/>
        <v>33184.356666666667</v>
      </c>
      <c r="W18" s="175">
        <f t="shared" si="16"/>
        <v>34684.356666666667</v>
      </c>
      <c r="X18" s="175">
        <f t="shared" si="16"/>
        <v>33184.356666666667</v>
      </c>
      <c r="Y18" s="175">
        <f t="shared" si="16"/>
        <v>33184.356666666667</v>
      </c>
      <c r="Z18" s="175">
        <f t="shared" si="16"/>
        <v>34684.366666666669</v>
      </c>
      <c r="AA18" s="175">
        <f t="shared" si="16"/>
        <v>33184.366666666669</v>
      </c>
      <c r="AB18" s="175">
        <f t="shared" si="16"/>
        <v>33184.366666666669</v>
      </c>
      <c r="AC18" s="175">
        <f t="shared" si="16"/>
        <v>34684.386666666665</v>
      </c>
      <c r="AD18" s="194">
        <f>SUM(R18:AC18)</f>
        <v>480000.00000000006</v>
      </c>
      <c r="AE18" s="147" t="b">
        <f t="shared" si="4"/>
        <v>1</v>
      </c>
    </row>
    <row r="19" spans="1:31" ht="12.75" customHeight="1" x14ac:dyDescent="0.2">
      <c r="B19" s="218"/>
      <c r="C19" s="259"/>
      <c r="D19" s="260"/>
      <c r="E19" s="261"/>
      <c r="F19" s="259"/>
      <c r="G19" s="260"/>
      <c r="H19" s="260"/>
      <c r="I19" s="261"/>
      <c r="J19" s="260"/>
      <c r="K19" s="261"/>
      <c r="L19" s="260"/>
      <c r="M19" s="261"/>
      <c r="N19" s="101"/>
      <c r="O19" s="388"/>
      <c r="P19" s="104"/>
      <c r="Q19" s="185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95"/>
      <c r="AE19" s="145"/>
    </row>
    <row r="20" spans="1:31" ht="12.75" customHeight="1" thickBot="1" x14ac:dyDescent="0.25">
      <c r="A20" s="101"/>
      <c r="B20" s="262" t="s">
        <v>764</v>
      </c>
      <c r="C20" s="263"/>
      <c r="D20" s="264"/>
      <c r="E20" s="265"/>
      <c r="F20" s="263"/>
      <c r="G20" s="264"/>
      <c r="H20" s="264"/>
      <c r="I20" s="265"/>
      <c r="J20" s="264"/>
      <c r="K20" s="265"/>
      <c r="L20" s="264"/>
      <c r="M20" s="265"/>
      <c r="N20" s="101"/>
      <c r="O20" s="388"/>
      <c r="P20" s="387" t="s">
        <v>764</v>
      </c>
      <c r="Q20" s="18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96"/>
      <c r="AE20" s="178"/>
    </row>
    <row r="21" spans="1:31" ht="12.75" customHeight="1" x14ac:dyDescent="0.2">
      <c r="A21" s="101"/>
      <c r="B21" s="257" t="s">
        <v>941</v>
      </c>
      <c r="C21" s="251">
        <f>-'TB (2) - April'!D54</f>
        <v>-9990</v>
      </c>
      <c r="D21" s="276">
        <f>+C21-E21</f>
        <v>-4573.333333333333</v>
      </c>
      <c r="E21" s="252">
        <f>U21</f>
        <v>-5416.666666666667</v>
      </c>
      <c r="F21" s="251">
        <f>-TB!D54</f>
        <v>-20520</v>
      </c>
      <c r="G21" s="276">
        <f t="shared" ref="G21:G43" si="17">+F21-I21</f>
        <v>1146.6699999999983</v>
      </c>
      <c r="H21" s="277">
        <f t="shared" si="9"/>
        <v>5</v>
      </c>
      <c r="I21" s="252">
        <f t="shared" ref="I21:I42" si="18">ROUND(SUMIF($R$6:$AC$6,"&lt;="&amp;$B$3,R21:AC21),2)</f>
        <v>-21666.67</v>
      </c>
      <c r="J21" s="232">
        <f>+F21-K21</f>
        <v>44480</v>
      </c>
      <c r="K21" s="384">
        <v>-65000</v>
      </c>
      <c r="L21" s="381">
        <f t="shared" ref="L21:L42" si="19">+F21-M21</f>
        <v>57240</v>
      </c>
      <c r="M21" s="258">
        <v>-77760</v>
      </c>
      <c r="N21" s="101"/>
      <c r="O21" s="386"/>
      <c r="P21" s="161" t="s">
        <v>941</v>
      </c>
      <c r="Q21" s="182">
        <v>-65000</v>
      </c>
      <c r="R21" s="151">
        <f t="shared" ref="R21:AC32" si="20">$Q21/12</f>
        <v>-5416.666666666667</v>
      </c>
      <c r="S21" s="151">
        <f t="shared" si="20"/>
        <v>-5416.666666666667</v>
      </c>
      <c r="T21" s="151">
        <f t="shared" si="20"/>
        <v>-5416.666666666667</v>
      </c>
      <c r="U21" s="151">
        <f t="shared" si="20"/>
        <v>-5416.666666666667</v>
      </c>
      <c r="V21" s="151">
        <f t="shared" si="20"/>
        <v>-5416.666666666667</v>
      </c>
      <c r="W21" s="151">
        <f t="shared" si="20"/>
        <v>-5416.666666666667</v>
      </c>
      <c r="X21" s="151">
        <f t="shared" si="20"/>
        <v>-5416.666666666667</v>
      </c>
      <c r="Y21" s="151">
        <f t="shared" si="20"/>
        <v>-5416.666666666667</v>
      </c>
      <c r="Z21" s="151">
        <f t="shared" si="20"/>
        <v>-5416.666666666667</v>
      </c>
      <c r="AA21" s="151">
        <f t="shared" si="20"/>
        <v>-5416.666666666667</v>
      </c>
      <c r="AB21" s="151">
        <f t="shared" si="20"/>
        <v>-5416.666666666667</v>
      </c>
      <c r="AC21" s="151">
        <f t="shared" si="20"/>
        <v>-5416.666666666667</v>
      </c>
      <c r="AD21" s="191">
        <f t="shared" ref="AD21:AD32" si="21">SUM(R21:AC21)</f>
        <v>-64999.999999999993</v>
      </c>
      <c r="AE21" s="134" t="b">
        <f t="shared" ref="AE21:AE32" si="22">AD21=Q21</f>
        <v>1</v>
      </c>
    </row>
    <row r="22" spans="1:31" ht="12.75" customHeight="1" x14ac:dyDescent="0.2">
      <c r="A22" s="101"/>
      <c r="B22" s="201" t="s">
        <v>942</v>
      </c>
      <c r="C22" s="253">
        <f>-'TB (2) - April'!D59</f>
        <v>-2673.62</v>
      </c>
      <c r="D22" s="276">
        <f t="shared" ref="D22:D42" si="23">+C22-E22</f>
        <v>-1423.62</v>
      </c>
      <c r="E22" s="252">
        <f t="shared" ref="E22:E42" si="24">U22</f>
        <v>-1250</v>
      </c>
      <c r="F22" s="253">
        <f>-TB!D59</f>
        <v>-3899.09</v>
      </c>
      <c r="G22" s="278">
        <f t="shared" si="17"/>
        <v>1100.9099999999999</v>
      </c>
      <c r="H22" s="279">
        <f t="shared" si="9"/>
        <v>22</v>
      </c>
      <c r="I22" s="254">
        <f t="shared" si="18"/>
        <v>-5000</v>
      </c>
      <c r="J22" s="235">
        <f t="shared" ref="J22:J43" si="25">+F22-K22</f>
        <v>11100.91</v>
      </c>
      <c r="K22" s="254">
        <v>-15000</v>
      </c>
      <c r="L22" s="382">
        <f t="shared" si="19"/>
        <v>12600.91</v>
      </c>
      <c r="M22" s="241">
        <v>-16500</v>
      </c>
      <c r="N22" s="101"/>
      <c r="O22" s="100"/>
      <c r="P22" s="140" t="s">
        <v>942</v>
      </c>
      <c r="Q22" s="183">
        <v>-15000</v>
      </c>
      <c r="R22" s="155">
        <f t="shared" si="20"/>
        <v>-1250</v>
      </c>
      <c r="S22" s="155">
        <f t="shared" si="20"/>
        <v>-1250</v>
      </c>
      <c r="T22" s="155">
        <f t="shared" si="20"/>
        <v>-1250</v>
      </c>
      <c r="U22" s="155">
        <f t="shared" si="20"/>
        <v>-1250</v>
      </c>
      <c r="V22" s="155">
        <f t="shared" si="20"/>
        <v>-1250</v>
      </c>
      <c r="W22" s="155">
        <f t="shared" si="20"/>
        <v>-1250</v>
      </c>
      <c r="X22" s="155">
        <f t="shared" si="20"/>
        <v>-1250</v>
      </c>
      <c r="Y22" s="155">
        <f t="shared" si="20"/>
        <v>-1250</v>
      </c>
      <c r="Z22" s="155">
        <f t="shared" si="20"/>
        <v>-1250</v>
      </c>
      <c r="AA22" s="155">
        <f t="shared" si="20"/>
        <v>-1250</v>
      </c>
      <c r="AB22" s="155">
        <f t="shared" si="20"/>
        <v>-1250</v>
      </c>
      <c r="AC22" s="155">
        <f t="shared" si="20"/>
        <v>-1250</v>
      </c>
      <c r="AD22" s="192">
        <f t="shared" si="21"/>
        <v>-15000</v>
      </c>
      <c r="AE22" s="136" t="b">
        <f t="shared" si="22"/>
        <v>1</v>
      </c>
    </row>
    <row r="23" spans="1:31" ht="12.75" customHeight="1" x14ac:dyDescent="0.2">
      <c r="A23" s="101"/>
      <c r="B23" s="201" t="s">
        <v>11</v>
      </c>
      <c r="C23" s="253">
        <f>-'TB (2) - April'!D60</f>
        <v>-931.31</v>
      </c>
      <c r="D23" s="276">
        <f t="shared" si="23"/>
        <v>-514.6433333333332</v>
      </c>
      <c r="E23" s="252">
        <f t="shared" si="24"/>
        <v>-416.66666666666669</v>
      </c>
      <c r="F23" s="253">
        <f>-TB!D60</f>
        <v>-931.31</v>
      </c>
      <c r="G23" s="278">
        <f t="shared" si="17"/>
        <v>735.36000000000013</v>
      </c>
      <c r="H23" s="279">
        <f t="shared" si="9"/>
        <v>44</v>
      </c>
      <c r="I23" s="254">
        <f t="shared" si="18"/>
        <v>-1666.67</v>
      </c>
      <c r="J23" s="235">
        <f t="shared" si="25"/>
        <v>4068.69</v>
      </c>
      <c r="K23" s="254">
        <v>-5000</v>
      </c>
      <c r="L23" s="382">
        <f t="shared" si="19"/>
        <v>4068.69</v>
      </c>
      <c r="M23" s="241">
        <v>-5000</v>
      </c>
      <c r="N23" s="389"/>
      <c r="O23" s="100"/>
      <c r="P23" s="140" t="s">
        <v>11</v>
      </c>
      <c r="Q23" s="183">
        <v>-5000</v>
      </c>
      <c r="R23" s="155">
        <f t="shared" si="20"/>
        <v>-416.66666666666669</v>
      </c>
      <c r="S23" s="155">
        <f t="shared" si="20"/>
        <v>-416.66666666666669</v>
      </c>
      <c r="T23" s="155">
        <f t="shared" si="20"/>
        <v>-416.66666666666669</v>
      </c>
      <c r="U23" s="155">
        <f t="shared" si="20"/>
        <v>-416.66666666666669</v>
      </c>
      <c r="V23" s="155">
        <f t="shared" si="20"/>
        <v>-416.66666666666669</v>
      </c>
      <c r="W23" s="155">
        <f t="shared" si="20"/>
        <v>-416.66666666666669</v>
      </c>
      <c r="X23" s="155">
        <f t="shared" si="20"/>
        <v>-416.66666666666669</v>
      </c>
      <c r="Y23" s="155">
        <f t="shared" si="20"/>
        <v>-416.66666666666669</v>
      </c>
      <c r="Z23" s="155">
        <f t="shared" si="20"/>
        <v>-416.66666666666669</v>
      </c>
      <c r="AA23" s="155">
        <f t="shared" si="20"/>
        <v>-416.66666666666669</v>
      </c>
      <c r="AB23" s="155">
        <f t="shared" si="20"/>
        <v>-416.66666666666669</v>
      </c>
      <c r="AC23" s="155">
        <f t="shared" si="20"/>
        <v>-416.66666666666669</v>
      </c>
      <c r="AD23" s="192">
        <f t="shared" si="21"/>
        <v>-5000</v>
      </c>
      <c r="AE23" s="136" t="b">
        <f t="shared" si="22"/>
        <v>1</v>
      </c>
    </row>
    <row r="24" spans="1:31" ht="12.75" customHeight="1" x14ac:dyDescent="0.2">
      <c r="A24" s="101"/>
      <c r="B24" s="201" t="s">
        <v>779</v>
      </c>
      <c r="C24" s="253">
        <f>-'TB (2) - April'!D61</f>
        <v>-1488.5</v>
      </c>
      <c r="D24" s="276">
        <f t="shared" si="23"/>
        <v>1094.8333333333335</v>
      </c>
      <c r="E24" s="252">
        <f t="shared" si="24"/>
        <v>-2583.3333333333335</v>
      </c>
      <c r="F24" s="253">
        <f>-TB!D61</f>
        <v>-7011</v>
      </c>
      <c r="G24" s="278">
        <f t="shared" si="17"/>
        <v>3322.33</v>
      </c>
      <c r="H24" s="279">
        <f t="shared" si="9"/>
        <v>32</v>
      </c>
      <c r="I24" s="254">
        <f t="shared" si="18"/>
        <v>-10333.33</v>
      </c>
      <c r="J24" s="235">
        <f t="shared" si="25"/>
        <v>23989</v>
      </c>
      <c r="K24" s="254">
        <v>-31000</v>
      </c>
      <c r="L24" s="382">
        <f t="shared" si="19"/>
        <v>13989</v>
      </c>
      <c r="M24" s="241">
        <v>-21000</v>
      </c>
      <c r="N24" s="101"/>
      <c r="O24" s="100"/>
      <c r="P24" s="140" t="s">
        <v>779</v>
      </c>
      <c r="Q24" s="183">
        <v>-31000</v>
      </c>
      <c r="R24" s="155">
        <f t="shared" si="20"/>
        <v>-2583.3333333333335</v>
      </c>
      <c r="S24" s="155">
        <f t="shared" si="20"/>
        <v>-2583.3333333333335</v>
      </c>
      <c r="T24" s="155">
        <f t="shared" si="20"/>
        <v>-2583.3333333333335</v>
      </c>
      <c r="U24" s="155">
        <f t="shared" si="20"/>
        <v>-2583.3333333333335</v>
      </c>
      <c r="V24" s="155">
        <f t="shared" si="20"/>
        <v>-2583.3333333333335</v>
      </c>
      <c r="W24" s="155">
        <f t="shared" si="20"/>
        <v>-2583.3333333333335</v>
      </c>
      <c r="X24" s="155">
        <f t="shared" si="20"/>
        <v>-2583.3333333333335</v>
      </c>
      <c r="Y24" s="155">
        <f t="shared" si="20"/>
        <v>-2583.3333333333335</v>
      </c>
      <c r="Z24" s="155">
        <f t="shared" si="20"/>
        <v>-2583.3333333333335</v>
      </c>
      <c r="AA24" s="155">
        <f t="shared" si="20"/>
        <v>-2583.3333333333335</v>
      </c>
      <c r="AB24" s="155">
        <f t="shared" si="20"/>
        <v>-2583.3333333333335</v>
      </c>
      <c r="AC24" s="155">
        <f t="shared" si="20"/>
        <v>-2583.3333333333335</v>
      </c>
      <c r="AD24" s="192">
        <f t="shared" si="21"/>
        <v>-30999.999999999996</v>
      </c>
      <c r="AE24" s="136" t="b">
        <f t="shared" si="22"/>
        <v>1</v>
      </c>
    </row>
    <row r="25" spans="1:31" ht="12.75" customHeight="1" x14ac:dyDescent="0.2">
      <c r="A25" s="101"/>
      <c r="B25" s="201" t="s">
        <v>772</v>
      </c>
      <c r="C25" s="253">
        <f>-'TB (2) - April'!D103</f>
        <v>-950.86</v>
      </c>
      <c r="D25" s="276">
        <f t="shared" si="23"/>
        <v>-950.86</v>
      </c>
      <c r="E25" s="252">
        <f t="shared" si="24"/>
        <v>0</v>
      </c>
      <c r="F25" s="253">
        <f>-TB!D103</f>
        <v>-950.86</v>
      </c>
      <c r="G25" s="278">
        <f t="shared" si="17"/>
        <v>-950.86</v>
      </c>
      <c r="H25" s="279">
        <f t="shared" si="9"/>
        <v>0</v>
      </c>
      <c r="I25" s="254">
        <f t="shared" si="18"/>
        <v>0</v>
      </c>
      <c r="J25" s="235">
        <f t="shared" si="25"/>
        <v>6549.14</v>
      </c>
      <c r="K25" s="254">
        <v>-7500</v>
      </c>
      <c r="L25" s="382">
        <f t="shared" si="19"/>
        <v>8049.14</v>
      </c>
      <c r="M25" s="241">
        <v>-9000</v>
      </c>
      <c r="N25" s="101"/>
      <c r="O25" s="100"/>
      <c r="P25" s="140" t="s">
        <v>772</v>
      </c>
      <c r="Q25" s="183">
        <v>-7500</v>
      </c>
      <c r="R25" s="155"/>
      <c r="S25" s="155"/>
      <c r="T25" s="155"/>
      <c r="U25" s="155"/>
      <c r="V25" s="155">
        <f>K25</f>
        <v>-7500</v>
      </c>
      <c r="W25" s="155"/>
      <c r="X25" s="155"/>
      <c r="Y25" s="155"/>
      <c r="Z25" s="155"/>
      <c r="AA25" s="155"/>
      <c r="AB25" s="155"/>
      <c r="AC25" s="155"/>
      <c r="AD25" s="192">
        <f>SUM(R25:AC25)</f>
        <v>-7500</v>
      </c>
      <c r="AE25" s="136" t="b">
        <f t="shared" si="22"/>
        <v>1</v>
      </c>
    </row>
    <row r="26" spans="1:31" ht="12.75" customHeight="1" x14ac:dyDescent="0.2">
      <c r="A26" s="101"/>
      <c r="B26" s="201" t="s">
        <v>819</v>
      </c>
      <c r="C26" s="253">
        <f>-'TB (2) - April'!D107</f>
        <v>-8297.5</v>
      </c>
      <c r="D26" s="276">
        <f t="shared" si="23"/>
        <v>-2880.833333333333</v>
      </c>
      <c r="E26" s="252">
        <f t="shared" si="24"/>
        <v>-5416.666666666667</v>
      </c>
      <c r="F26" s="253">
        <f>-TB!D107</f>
        <v>-25245</v>
      </c>
      <c r="G26" s="278">
        <f t="shared" si="17"/>
        <v>-3578.3300000000017</v>
      </c>
      <c r="H26" s="279">
        <f t="shared" si="9"/>
        <v>-17</v>
      </c>
      <c r="I26" s="254">
        <f t="shared" si="18"/>
        <v>-21666.67</v>
      </c>
      <c r="J26" s="235">
        <f t="shared" si="25"/>
        <v>39755</v>
      </c>
      <c r="K26" s="254">
        <v>-65000</v>
      </c>
      <c r="L26" s="382">
        <f t="shared" si="19"/>
        <v>50915.91</v>
      </c>
      <c r="M26" s="241">
        <v>-76160.91</v>
      </c>
      <c r="N26" s="101"/>
      <c r="O26" s="100"/>
      <c r="P26" s="140" t="s">
        <v>819</v>
      </c>
      <c r="Q26" s="183">
        <v>-65000</v>
      </c>
      <c r="R26" s="155">
        <f t="shared" si="20"/>
        <v>-5416.666666666667</v>
      </c>
      <c r="S26" s="155">
        <f t="shared" si="20"/>
        <v>-5416.666666666667</v>
      </c>
      <c r="T26" s="155">
        <f t="shared" si="20"/>
        <v>-5416.666666666667</v>
      </c>
      <c r="U26" s="155">
        <f t="shared" si="20"/>
        <v>-5416.666666666667</v>
      </c>
      <c r="V26" s="155">
        <f t="shared" si="20"/>
        <v>-5416.666666666667</v>
      </c>
      <c r="W26" s="155">
        <f t="shared" si="20"/>
        <v>-5416.666666666667</v>
      </c>
      <c r="X26" s="155">
        <f t="shared" si="20"/>
        <v>-5416.666666666667</v>
      </c>
      <c r="Y26" s="155">
        <f t="shared" si="20"/>
        <v>-5416.666666666667</v>
      </c>
      <c r="Z26" s="155">
        <f t="shared" si="20"/>
        <v>-5416.666666666667</v>
      </c>
      <c r="AA26" s="155">
        <f t="shared" si="20"/>
        <v>-5416.666666666667</v>
      </c>
      <c r="AB26" s="155">
        <f t="shared" si="20"/>
        <v>-5416.666666666667</v>
      </c>
      <c r="AC26" s="155">
        <f t="shared" si="20"/>
        <v>-5416.666666666667</v>
      </c>
      <c r="AD26" s="192">
        <f t="shared" si="21"/>
        <v>-64999.999999999993</v>
      </c>
      <c r="AE26" s="136" t="b">
        <f t="shared" si="22"/>
        <v>1</v>
      </c>
    </row>
    <row r="27" spans="1:31" ht="12.75" customHeight="1" x14ac:dyDescent="0.2">
      <c r="A27" s="101"/>
      <c r="B27" s="201" t="s">
        <v>820</v>
      </c>
      <c r="C27" s="253">
        <f>-'TB (2) - April'!D108</f>
        <v>-529.96</v>
      </c>
      <c r="D27" s="276">
        <f t="shared" si="23"/>
        <v>470.03999999999996</v>
      </c>
      <c r="E27" s="252">
        <f t="shared" si="24"/>
        <v>-1000</v>
      </c>
      <c r="F27" s="253">
        <f>-TB!D108</f>
        <v>-1675.83</v>
      </c>
      <c r="G27" s="278">
        <f t="shared" si="17"/>
        <v>2324.17</v>
      </c>
      <c r="H27" s="279">
        <f t="shared" si="9"/>
        <v>58</v>
      </c>
      <c r="I27" s="254">
        <f t="shared" si="18"/>
        <v>-4000</v>
      </c>
      <c r="J27" s="235">
        <f t="shared" si="25"/>
        <v>10324.17</v>
      </c>
      <c r="K27" s="254">
        <v>-12000</v>
      </c>
      <c r="L27" s="382">
        <f t="shared" si="19"/>
        <v>7324.17</v>
      </c>
      <c r="M27" s="241">
        <v>-9000</v>
      </c>
      <c r="N27" s="101"/>
      <c r="O27" s="100"/>
      <c r="P27" s="140" t="s">
        <v>820</v>
      </c>
      <c r="Q27" s="183">
        <v>-12000</v>
      </c>
      <c r="R27" s="155">
        <f t="shared" si="20"/>
        <v>-1000</v>
      </c>
      <c r="S27" s="155">
        <f t="shared" si="20"/>
        <v>-1000</v>
      </c>
      <c r="T27" s="155">
        <f t="shared" si="20"/>
        <v>-1000</v>
      </c>
      <c r="U27" s="155">
        <f t="shared" si="20"/>
        <v>-1000</v>
      </c>
      <c r="V27" s="155">
        <f t="shared" si="20"/>
        <v>-1000</v>
      </c>
      <c r="W27" s="155">
        <f t="shared" si="20"/>
        <v>-1000</v>
      </c>
      <c r="X27" s="155">
        <f t="shared" si="20"/>
        <v>-1000</v>
      </c>
      <c r="Y27" s="155">
        <f t="shared" si="20"/>
        <v>-1000</v>
      </c>
      <c r="Z27" s="155">
        <f t="shared" si="20"/>
        <v>-1000</v>
      </c>
      <c r="AA27" s="155">
        <f t="shared" si="20"/>
        <v>-1000</v>
      </c>
      <c r="AB27" s="155">
        <f t="shared" si="20"/>
        <v>-1000</v>
      </c>
      <c r="AC27" s="155">
        <f t="shared" si="20"/>
        <v>-1000</v>
      </c>
      <c r="AD27" s="192">
        <f t="shared" si="21"/>
        <v>-12000</v>
      </c>
      <c r="AE27" s="136" t="b">
        <f t="shared" si="22"/>
        <v>1</v>
      </c>
    </row>
    <row r="28" spans="1:31" ht="12.75" customHeight="1" x14ac:dyDescent="0.2">
      <c r="A28" s="101"/>
      <c r="B28" s="201" t="s">
        <v>773</v>
      </c>
      <c r="C28" s="253">
        <f>-'TB (2) - April'!D75-'TB (2) - April'!D76-'TB (2) - April'!D77-'TB (2) - April'!D78-'TB (2) - April'!D79</f>
        <v>-105.78</v>
      </c>
      <c r="D28" s="276">
        <f t="shared" si="23"/>
        <v>435.88666666666666</v>
      </c>
      <c r="E28" s="252">
        <f t="shared" si="24"/>
        <v>-541.66666666666663</v>
      </c>
      <c r="F28" s="253">
        <f>-TB!D75-TB!D76-TB!D77-TB!D78-TB!D79</f>
        <v>-1729.36</v>
      </c>
      <c r="G28" s="278">
        <f t="shared" si="17"/>
        <v>437.31000000000017</v>
      </c>
      <c r="H28" s="279">
        <f t="shared" si="9"/>
        <v>20</v>
      </c>
      <c r="I28" s="254">
        <f t="shared" si="18"/>
        <v>-2166.67</v>
      </c>
      <c r="J28" s="235">
        <f t="shared" si="25"/>
        <v>4770.6400000000003</v>
      </c>
      <c r="K28" s="254">
        <v>-6500</v>
      </c>
      <c r="L28" s="382">
        <f t="shared" si="19"/>
        <v>4820.6400000000003</v>
      </c>
      <c r="M28" s="241">
        <v>-6550</v>
      </c>
      <c r="N28" s="101"/>
      <c r="O28" s="100"/>
      <c r="P28" s="140" t="s">
        <v>773</v>
      </c>
      <c r="Q28" s="183">
        <v>-6500</v>
      </c>
      <c r="R28" s="155">
        <f t="shared" si="20"/>
        <v>-541.66666666666663</v>
      </c>
      <c r="S28" s="155">
        <f t="shared" si="20"/>
        <v>-541.66666666666663</v>
      </c>
      <c r="T28" s="155">
        <f t="shared" si="20"/>
        <v>-541.66666666666663</v>
      </c>
      <c r="U28" s="155">
        <f t="shared" si="20"/>
        <v>-541.66666666666663</v>
      </c>
      <c r="V28" s="155">
        <f t="shared" si="20"/>
        <v>-541.66666666666663</v>
      </c>
      <c r="W28" s="155">
        <f t="shared" si="20"/>
        <v>-541.66666666666663</v>
      </c>
      <c r="X28" s="155">
        <f t="shared" si="20"/>
        <v>-541.66666666666663</v>
      </c>
      <c r="Y28" s="155">
        <f t="shared" si="20"/>
        <v>-541.66666666666663</v>
      </c>
      <c r="Z28" s="155">
        <f t="shared" si="20"/>
        <v>-541.66666666666663</v>
      </c>
      <c r="AA28" s="155">
        <f t="shared" si="20"/>
        <v>-541.66666666666663</v>
      </c>
      <c r="AB28" s="155">
        <f t="shared" si="20"/>
        <v>-541.66666666666663</v>
      </c>
      <c r="AC28" s="155">
        <f t="shared" si="20"/>
        <v>-541.66666666666663</v>
      </c>
      <c r="AD28" s="192">
        <f t="shared" si="21"/>
        <v>-6500.0000000000009</v>
      </c>
      <c r="AE28" s="136" t="b">
        <f t="shared" si="22"/>
        <v>1</v>
      </c>
    </row>
    <row r="29" spans="1:31" ht="12.75" customHeight="1" x14ac:dyDescent="0.2">
      <c r="A29" s="101"/>
      <c r="B29" s="201" t="s">
        <v>928</v>
      </c>
      <c r="C29" s="253">
        <f>-'TB (2) - April'!D69-'TB (2) - April'!D70-'TB (2) - April'!D89-'TB (2) - April'!D110-'TB (2) - April'!D58</f>
        <v>-17019.170000000002</v>
      </c>
      <c r="D29" s="276">
        <f t="shared" si="23"/>
        <v>-11185.83666666667</v>
      </c>
      <c r="E29" s="252">
        <f t="shared" si="24"/>
        <v>-5833.333333333333</v>
      </c>
      <c r="F29" s="253">
        <f>-TB!D69-TB!D70-TB!D89-TB!D110-TB!D58</f>
        <v>-23226.05</v>
      </c>
      <c r="G29" s="278">
        <f t="shared" si="17"/>
        <v>107.28000000000247</v>
      </c>
      <c r="H29" s="279">
        <f t="shared" si="9"/>
        <v>0</v>
      </c>
      <c r="I29" s="254">
        <f t="shared" si="18"/>
        <v>-23333.33</v>
      </c>
      <c r="J29" s="235">
        <f t="shared" si="25"/>
        <v>46773.95</v>
      </c>
      <c r="K29" s="254">
        <v>-70000</v>
      </c>
      <c r="L29" s="382">
        <f t="shared" si="19"/>
        <v>9708.1099999999969</v>
      </c>
      <c r="M29" s="241">
        <v>-32934.159999999996</v>
      </c>
      <c r="N29" s="101"/>
      <c r="O29" s="100"/>
      <c r="P29" s="140" t="s">
        <v>928</v>
      </c>
      <c r="Q29" s="183">
        <v>-70000</v>
      </c>
      <c r="R29" s="155">
        <f t="shared" si="20"/>
        <v>-5833.333333333333</v>
      </c>
      <c r="S29" s="155">
        <f t="shared" si="20"/>
        <v>-5833.333333333333</v>
      </c>
      <c r="T29" s="155">
        <f t="shared" si="20"/>
        <v>-5833.333333333333</v>
      </c>
      <c r="U29" s="155">
        <f t="shared" si="20"/>
        <v>-5833.333333333333</v>
      </c>
      <c r="V29" s="155">
        <f t="shared" si="20"/>
        <v>-5833.333333333333</v>
      </c>
      <c r="W29" s="155">
        <f t="shared" si="20"/>
        <v>-5833.333333333333</v>
      </c>
      <c r="X29" s="155">
        <f t="shared" si="20"/>
        <v>-5833.333333333333</v>
      </c>
      <c r="Y29" s="155">
        <f t="shared" si="20"/>
        <v>-5833.333333333333</v>
      </c>
      <c r="Z29" s="155">
        <f t="shared" si="20"/>
        <v>-5833.333333333333</v>
      </c>
      <c r="AA29" s="155">
        <f t="shared" si="20"/>
        <v>-5833.333333333333</v>
      </c>
      <c r="AB29" s="155">
        <f t="shared" si="20"/>
        <v>-5833.333333333333</v>
      </c>
      <c r="AC29" s="155">
        <f t="shared" si="20"/>
        <v>-5833.333333333333</v>
      </c>
      <c r="AD29" s="192">
        <f t="shared" si="21"/>
        <v>-70000.000000000015</v>
      </c>
      <c r="AE29" s="136" t="b">
        <f t="shared" si="22"/>
        <v>1</v>
      </c>
    </row>
    <row r="30" spans="1:31" ht="12.75" customHeight="1" x14ac:dyDescent="0.2">
      <c r="A30" s="101"/>
      <c r="B30" s="201" t="s">
        <v>784</v>
      </c>
      <c r="C30" s="253">
        <f>-'TB (2) - April'!D65-'TB (2) - April'!D71</f>
        <v>-227.06</v>
      </c>
      <c r="D30" s="276">
        <f t="shared" si="23"/>
        <v>189.60666666666668</v>
      </c>
      <c r="E30" s="252">
        <f t="shared" si="24"/>
        <v>-416.66666666666669</v>
      </c>
      <c r="F30" s="253">
        <f>-TB!D65-TB!D71</f>
        <v>-8860.619999999999</v>
      </c>
      <c r="G30" s="278">
        <f t="shared" si="17"/>
        <v>-7193.9499999999989</v>
      </c>
      <c r="H30" s="279">
        <f t="shared" si="9"/>
        <v>-432</v>
      </c>
      <c r="I30" s="254">
        <f t="shared" si="18"/>
        <v>-1666.67</v>
      </c>
      <c r="J30" s="235">
        <f t="shared" si="25"/>
        <v>-3860.619999999999</v>
      </c>
      <c r="K30" s="254">
        <v>-5000</v>
      </c>
      <c r="L30" s="382">
        <f t="shared" si="19"/>
        <v>-2382.9499999999989</v>
      </c>
      <c r="M30" s="241">
        <v>-6477.67</v>
      </c>
      <c r="N30" s="101"/>
      <c r="O30" s="100"/>
      <c r="P30" s="140" t="s">
        <v>784</v>
      </c>
      <c r="Q30" s="183">
        <v>-5000</v>
      </c>
      <c r="R30" s="155">
        <f t="shared" si="20"/>
        <v>-416.66666666666669</v>
      </c>
      <c r="S30" s="155">
        <f t="shared" si="20"/>
        <v>-416.66666666666669</v>
      </c>
      <c r="T30" s="155">
        <f t="shared" si="20"/>
        <v>-416.66666666666669</v>
      </c>
      <c r="U30" s="155">
        <f t="shared" si="20"/>
        <v>-416.66666666666669</v>
      </c>
      <c r="V30" s="155">
        <f t="shared" si="20"/>
        <v>-416.66666666666669</v>
      </c>
      <c r="W30" s="155">
        <f t="shared" si="20"/>
        <v>-416.66666666666669</v>
      </c>
      <c r="X30" s="155">
        <f t="shared" si="20"/>
        <v>-416.66666666666669</v>
      </c>
      <c r="Y30" s="155">
        <f t="shared" si="20"/>
        <v>-416.66666666666669</v>
      </c>
      <c r="Z30" s="155">
        <f t="shared" si="20"/>
        <v>-416.66666666666669</v>
      </c>
      <c r="AA30" s="155">
        <f t="shared" si="20"/>
        <v>-416.66666666666669</v>
      </c>
      <c r="AB30" s="155">
        <f t="shared" si="20"/>
        <v>-416.66666666666669</v>
      </c>
      <c r="AC30" s="155">
        <f t="shared" si="20"/>
        <v>-416.66666666666669</v>
      </c>
      <c r="AD30" s="192">
        <f t="shared" si="21"/>
        <v>-5000</v>
      </c>
      <c r="AE30" s="136" t="b">
        <f t="shared" si="22"/>
        <v>1</v>
      </c>
    </row>
    <row r="31" spans="1:31" ht="12.75" customHeight="1" x14ac:dyDescent="0.2">
      <c r="A31" s="101"/>
      <c r="B31" s="201" t="s">
        <v>776</v>
      </c>
      <c r="C31" s="253">
        <f>-'TB (2) - April'!D104</f>
        <v>0</v>
      </c>
      <c r="D31" s="276">
        <f t="shared" si="23"/>
        <v>1833.3333333333333</v>
      </c>
      <c r="E31" s="252">
        <f t="shared" si="24"/>
        <v>-1833.3333333333333</v>
      </c>
      <c r="F31" s="253">
        <f>-TB!D104</f>
        <v>-1325.44</v>
      </c>
      <c r="G31" s="278">
        <f t="shared" si="17"/>
        <v>6007.8899999999994</v>
      </c>
      <c r="H31" s="279">
        <f t="shared" si="9"/>
        <v>82</v>
      </c>
      <c r="I31" s="254">
        <f t="shared" si="18"/>
        <v>-7333.33</v>
      </c>
      <c r="J31" s="235">
        <f t="shared" si="25"/>
        <v>20674.560000000001</v>
      </c>
      <c r="K31" s="254">
        <v>-22000</v>
      </c>
      <c r="L31" s="382">
        <f t="shared" si="19"/>
        <v>13839.32</v>
      </c>
      <c r="M31" s="241">
        <v>-15164.76</v>
      </c>
      <c r="N31" s="101"/>
      <c r="O31" s="100"/>
      <c r="P31" s="140" t="s">
        <v>776</v>
      </c>
      <c r="Q31" s="183">
        <v>-22000</v>
      </c>
      <c r="R31" s="155">
        <f t="shared" si="20"/>
        <v>-1833.3333333333333</v>
      </c>
      <c r="S31" s="155">
        <f t="shared" si="20"/>
        <v>-1833.3333333333333</v>
      </c>
      <c r="T31" s="155">
        <f t="shared" si="20"/>
        <v>-1833.3333333333333</v>
      </c>
      <c r="U31" s="155">
        <f t="shared" si="20"/>
        <v>-1833.3333333333333</v>
      </c>
      <c r="V31" s="155">
        <f t="shared" si="20"/>
        <v>-1833.3333333333333</v>
      </c>
      <c r="W31" s="155">
        <f t="shared" si="20"/>
        <v>-1833.3333333333333</v>
      </c>
      <c r="X31" s="155">
        <f t="shared" si="20"/>
        <v>-1833.3333333333333</v>
      </c>
      <c r="Y31" s="155">
        <f t="shared" si="20"/>
        <v>-1833.3333333333333</v>
      </c>
      <c r="Z31" s="155">
        <f t="shared" si="20"/>
        <v>-1833.3333333333333</v>
      </c>
      <c r="AA31" s="155">
        <f t="shared" si="20"/>
        <v>-1833.3333333333333</v>
      </c>
      <c r="AB31" s="155">
        <f t="shared" si="20"/>
        <v>-1833.3333333333333</v>
      </c>
      <c r="AC31" s="155">
        <f t="shared" si="20"/>
        <v>-1833.3333333333333</v>
      </c>
      <c r="AD31" s="192">
        <f t="shared" si="21"/>
        <v>-21999.999999999996</v>
      </c>
      <c r="AE31" s="136" t="b">
        <f t="shared" si="22"/>
        <v>1</v>
      </c>
    </row>
    <row r="32" spans="1:31" ht="12.75" customHeight="1" x14ac:dyDescent="0.2">
      <c r="A32" s="101"/>
      <c r="B32" s="201" t="s">
        <v>913</v>
      </c>
      <c r="C32" s="253">
        <f>-'TB (2) - April'!D86</f>
        <v>0</v>
      </c>
      <c r="D32" s="276">
        <f t="shared" si="23"/>
        <v>33.333333333333336</v>
      </c>
      <c r="E32" s="252">
        <f t="shared" si="24"/>
        <v>-33.333333333333336</v>
      </c>
      <c r="F32" s="253">
        <f>-TB!D86</f>
        <v>0</v>
      </c>
      <c r="G32" s="278">
        <f t="shared" si="17"/>
        <v>133.33000000000001</v>
      </c>
      <c r="H32" s="279">
        <f t="shared" si="9"/>
        <v>100</v>
      </c>
      <c r="I32" s="254">
        <f t="shared" si="18"/>
        <v>-133.33000000000001</v>
      </c>
      <c r="J32" s="235">
        <f t="shared" si="25"/>
        <v>400</v>
      </c>
      <c r="K32" s="254">
        <v>-400</v>
      </c>
      <c r="L32" s="382">
        <f t="shared" si="19"/>
        <v>600</v>
      </c>
      <c r="M32" s="241">
        <v>-600</v>
      </c>
      <c r="N32" s="101"/>
      <c r="O32" s="100"/>
      <c r="P32" s="140" t="s">
        <v>913</v>
      </c>
      <c r="Q32" s="183">
        <v>-400</v>
      </c>
      <c r="R32" s="155">
        <f t="shared" si="20"/>
        <v>-33.333333333333336</v>
      </c>
      <c r="S32" s="155">
        <f t="shared" si="20"/>
        <v>-33.333333333333336</v>
      </c>
      <c r="T32" s="155">
        <f t="shared" si="20"/>
        <v>-33.333333333333336</v>
      </c>
      <c r="U32" s="155">
        <f t="shared" si="20"/>
        <v>-33.333333333333336</v>
      </c>
      <c r="V32" s="155">
        <f t="shared" si="20"/>
        <v>-33.333333333333336</v>
      </c>
      <c r="W32" s="155">
        <f t="shared" si="20"/>
        <v>-33.333333333333336</v>
      </c>
      <c r="X32" s="155">
        <f t="shared" si="20"/>
        <v>-33.333333333333336</v>
      </c>
      <c r="Y32" s="155">
        <f t="shared" si="20"/>
        <v>-33.333333333333336</v>
      </c>
      <c r="Z32" s="155">
        <f t="shared" si="20"/>
        <v>-33.333333333333336</v>
      </c>
      <c r="AA32" s="155">
        <f t="shared" si="20"/>
        <v>-33.333333333333336</v>
      </c>
      <c r="AB32" s="155">
        <f t="shared" si="20"/>
        <v>-33.333333333333336</v>
      </c>
      <c r="AC32" s="155">
        <f t="shared" si="20"/>
        <v>-33.333333333333336</v>
      </c>
      <c r="AD32" s="192">
        <f t="shared" si="21"/>
        <v>-399.99999999999994</v>
      </c>
      <c r="AE32" s="136" t="b">
        <f t="shared" si="22"/>
        <v>1</v>
      </c>
    </row>
    <row r="33" spans="1:31" ht="12.75" customHeight="1" x14ac:dyDescent="0.2">
      <c r="A33" s="101"/>
      <c r="B33" s="201" t="s">
        <v>972</v>
      </c>
      <c r="C33" s="253">
        <f>-'TB (2) - April'!D74</f>
        <v>-8070</v>
      </c>
      <c r="D33" s="276">
        <f t="shared" si="23"/>
        <v>-3903.333333333333</v>
      </c>
      <c r="E33" s="252">
        <f t="shared" si="24"/>
        <v>-4166.666666666667</v>
      </c>
      <c r="F33" s="253">
        <f>-TB!D74</f>
        <v>-20120</v>
      </c>
      <c r="G33" s="278">
        <f t="shared" si="17"/>
        <v>-3453.3300000000017</v>
      </c>
      <c r="H33" s="279">
        <f t="shared" si="9"/>
        <v>-21</v>
      </c>
      <c r="I33" s="254">
        <f t="shared" si="18"/>
        <v>-16666.669999999998</v>
      </c>
      <c r="J33" s="235">
        <f t="shared" si="25"/>
        <v>29880</v>
      </c>
      <c r="K33" s="254">
        <v>-50000</v>
      </c>
      <c r="L33" s="382">
        <f t="shared" si="19"/>
        <v>4880</v>
      </c>
      <c r="M33" s="241">
        <v>-25000</v>
      </c>
      <c r="N33" s="101"/>
      <c r="O33" s="100"/>
      <c r="P33" s="140" t="s">
        <v>972</v>
      </c>
      <c r="Q33" s="183">
        <v>-50000</v>
      </c>
      <c r="R33" s="155">
        <f t="shared" ref="R33:AC36" si="26">$Q33/12</f>
        <v>-4166.666666666667</v>
      </c>
      <c r="S33" s="155">
        <f t="shared" si="26"/>
        <v>-4166.666666666667</v>
      </c>
      <c r="T33" s="155">
        <f t="shared" si="26"/>
        <v>-4166.666666666667</v>
      </c>
      <c r="U33" s="155">
        <f t="shared" si="26"/>
        <v>-4166.666666666667</v>
      </c>
      <c r="V33" s="155">
        <f t="shared" si="26"/>
        <v>-4166.666666666667</v>
      </c>
      <c r="W33" s="155">
        <f t="shared" si="26"/>
        <v>-4166.666666666667</v>
      </c>
      <c r="X33" s="155">
        <f t="shared" si="26"/>
        <v>-4166.666666666667</v>
      </c>
      <c r="Y33" s="155">
        <f t="shared" si="26"/>
        <v>-4166.666666666667</v>
      </c>
      <c r="Z33" s="155">
        <f t="shared" si="26"/>
        <v>-4166.666666666667</v>
      </c>
      <c r="AA33" s="155">
        <f t="shared" si="26"/>
        <v>-4166.666666666667</v>
      </c>
      <c r="AB33" s="155">
        <f t="shared" si="26"/>
        <v>-4166.666666666667</v>
      </c>
      <c r="AC33" s="155">
        <f t="shared" si="26"/>
        <v>-4166.666666666667</v>
      </c>
      <c r="AD33" s="192">
        <f t="shared" ref="AD33:AD39" si="27">SUM(R33:AC33)</f>
        <v>-49999.999999999993</v>
      </c>
      <c r="AE33" s="136" t="b">
        <f t="shared" ref="AE33:AE39" si="28">AD33=Q33</f>
        <v>1</v>
      </c>
    </row>
    <row r="34" spans="1:31" ht="12.75" customHeight="1" x14ac:dyDescent="0.2">
      <c r="A34" s="101"/>
      <c r="B34" s="201" t="s">
        <v>752</v>
      </c>
      <c r="C34" s="253">
        <f>-'TB (2) - April'!D106</f>
        <v>-3374.99</v>
      </c>
      <c r="D34" s="276">
        <f t="shared" si="23"/>
        <v>1.0000000000218279E-2</v>
      </c>
      <c r="E34" s="252">
        <f t="shared" si="24"/>
        <v>-3375</v>
      </c>
      <c r="F34" s="253">
        <f>-TB!D106</f>
        <v>-13500</v>
      </c>
      <c r="G34" s="278">
        <f t="shared" si="17"/>
        <v>0</v>
      </c>
      <c r="H34" s="279">
        <f t="shared" si="9"/>
        <v>0</v>
      </c>
      <c r="I34" s="254">
        <f t="shared" si="18"/>
        <v>-13500</v>
      </c>
      <c r="J34" s="235">
        <f t="shared" si="25"/>
        <v>27000</v>
      </c>
      <c r="K34" s="254">
        <v>-40500</v>
      </c>
      <c r="L34" s="382">
        <f t="shared" si="19"/>
        <v>31500</v>
      </c>
      <c r="M34" s="241">
        <v>-45000</v>
      </c>
      <c r="N34" s="101"/>
      <c r="O34" s="100"/>
      <c r="P34" s="140" t="s">
        <v>752</v>
      </c>
      <c r="Q34" s="183">
        <v>-40500</v>
      </c>
      <c r="R34" s="155">
        <f t="shared" si="26"/>
        <v>-3375</v>
      </c>
      <c r="S34" s="155">
        <f t="shared" si="26"/>
        <v>-3375</v>
      </c>
      <c r="T34" s="155">
        <f t="shared" si="26"/>
        <v>-3375</v>
      </c>
      <c r="U34" s="155">
        <f t="shared" si="26"/>
        <v>-3375</v>
      </c>
      <c r="V34" s="155">
        <f t="shared" si="26"/>
        <v>-3375</v>
      </c>
      <c r="W34" s="155">
        <f t="shared" si="26"/>
        <v>-3375</v>
      </c>
      <c r="X34" s="155">
        <f t="shared" si="26"/>
        <v>-3375</v>
      </c>
      <c r="Y34" s="155">
        <f t="shared" si="26"/>
        <v>-3375</v>
      </c>
      <c r="Z34" s="155">
        <f t="shared" si="26"/>
        <v>-3375</v>
      </c>
      <c r="AA34" s="155">
        <f t="shared" si="26"/>
        <v>-3375</v>
      </c>
      <c r="AB34" s="155">
        <f t="shared" si="26"/>
        <v>-3375</v>
      </c>
      <c r="AC34" s="155">
        <f t="shared" si="26"/>
        <v>-3375</v>
      </c>
      <c r="AD34" s="192">
        <f t="shared" si="27"/>
        <v>-40500</v>
      </c>
      <c r="AE34" s="136" t="b">
        <f t="shared" si="28"/>
        <v>1</v>
      </c>
    </row>
    <row r="35" spans="1:31" ht="12.75" customHeight="1" x14ac:dyDescent="0.2">
      <c r="A35" s="101"/>
      <c r="B35" s="201" t="s">
        <v>97</v>
      </c>
      <c r="C35" s="253">
        <f>-'TB (2) - April'!D91</f>
        <v>-5484</v>
      </c>
      <c r="D35" s="276">
        <f t="shared" si="23"/>
        <v>-2538.6666666666665</v>
      </c>
      <c r="E35" s="252">
        <f t="shared" si="24"/>
        <v>-2945.3333333333335</v>
      </c>
      <c r="F35" s="253">
        <f>-TB!D91</f>
        <v>-14214</v>
      </c>
      <c r="G35" s="278">
        <f t="shared" si="17"/>
        <v>-2432.67</v>
      </c>
      <c r="H35" s="279">
        <f t="shared" si="9"/>
        <v>-21</v>
      </c>
      <c r="I35" s="254">
        <f t="shared" si="18"/>
        <v>-11781.33</v>
      </c>
      <c r="J35" s="235">
        <f t="shared" si="25"/>
        <v>21130</v>
      </c>
      <c r="K35" s="254">
        <v>-35344</v>
      </c>
      <c r="L35" s="382">
        <f t="shared" si="19"/>
        <v>13402</v>
      </c>
      <c r="M35" s="241">
        <v>-27616</v>
      </c>
      <c r="N35" s="101"/>
      <c r="O35" s="100"/>
      <c r="P35" s="140" t="s">
        <v>97</v>
      </c>
      <c r="Q35" s="183">
        <v>-35344</v>
      </c>
      <c r="R35" s="155">
        <f t="shared" si="26"/>
        <v>-2945.3333333333335</v>
      </c>
      <c r="S35" s="155">
        <f t="shared" si="26"/>
        <v>-2945.3333333333335</v>
      </c>
      <c r="T35" s="155">
        <f t="shared" si="26"/>
        <v>-2945.3333333333335</v>
      </c>
      <c r="U35" s="155">
        <f t="shared" si="26"/>
        <v>-2945.3333333333335</v>
      </c>
      <c r="V35" s="155">
        <f t="shared" si="26"/>
        <v>-2945.3333333333335</v>
      </c>
      <c r="W35" s="155">
        <f t="shared" si="26"/>
        <v>-2945.3333333333335</v>
      </c>
      <c r="X35" s="155">
        <f t="shared" si="26"/>
        <v>-2945.3333333333335</v>
      </c>
      <c r="Y35" s="155">
        <f t="shared" si="26"/>
        <v>-2945.3333333333335</v>
      </c>
      <c r="Z35" s="155">
        <f t="shared" si="26"/>
        <v>-2945.3333333333335</v>
      </c>
      <c r="AA35" s="155">
        <f t="shared" si="26"/>
        <v>-2945.3333333333335</v>
      </c>
      <c r="AB35" s="155">
        <f t="shared" si="26"/>
        <v>-2945.3333333333335</v>
      </c>
      <c r="AC35" s="155">
        <f t="shared" si="26"/>
        <v>-2945.3333333333335</v>
      </c>
      <c r="AD35" s="192">
        <f t="shared" si="27"/>
        <v>-35343.999999999993</v>
      </c>
      <c r="AE35" s="136" t="b">
        <f t="shared" si="28"/>
        <v>1</v>
      </c>
    </row>
    <row r="36" spans="1:31" ht="12.75" customHeight="1" x14ac:dyDescent="0.2">
      <c r="A36" s="101"/>
      <c r="B36" s="201" t="s">
        <v>930</v>
      </c>
      <c r="C36" s="253">
        <f>-'TB (2) - April'!D109-'TB (2) - April'!D111</f>
        <v>-72.91</v>
      </c>
      <c r="D36" s="276">
        <f t="shared" si="23"/>
        <v>-72.91</v>
      </c>
      <c r="E36" s="252">
        <f t="shared" si="24"/>
        <v>0</v>
      </c>
      <c r="F36" s="253">
        <f>-TB!D109-TB!C111</f>
        <v>-104.1</v>
      </c>
      <c r="G36" s="278">
        <f t="shared" si="17"/>
        <v>-104.1</v>
      </c>
      <c r="H36" s="279">
        <f t="shared" si="9"/>
        <v>0</v>
      </c>
      <c r="I36" s="254">
        <f t="shared" si="18"/>
        <v>0</v>
      </c>
      <c r="J36" s="235">
        <f t="shared" si="25"/>
        <v>-104.1</v>
      </c>
      <c r="K36" s="254">
        <v>0</v>
      </c>
      <c r="L36" s="382">
        <f t="shared" si="19"/>
        <v>8804.59</v>
      </c>
      <c r="M36" s="241">
        <v>-8908.69</v>
      </c>
      <c r="N36" s="101"/>
      <c r="O36" s="100"/>
      <c r="P36" s="140" t="s">
        <v>930</v>
      </c>
      <c r="Q36" s="183">
        <v>0</v>
      </c>
      <c r="R36" s="155">
        <f t="shared" si="26"/>
        <v>0</v>
      </c>
      <c r="S36" s="155">
        <f t="shared" si="26"/>
        <v>0</v>
      </c>
      <c r="T36" s="155">
        <f t="shared" si="26"/>
        <v>0</v>
      </c>
      <c r="U36" s="155">
        <f t="shared" si="26"/>
        <v>0</v>
      </c>
      <c r="V36" s="155">
        <f t="shared" si="26"/>
        <v>0</v>
      </c>
      <c r="W36" s="155">
        <f t="shared" si="26"/>
        <v>0</v>
      </c>
      <c r="X36" s="155">
        <f t="shared" si="26"/>
        <v>0</v>
      </c>
      <c r="Y36" s="155">
        <f t="shared" si="26"/>
        <v>0</v>
      </c>
      <c r="Z36" s="155">
        <f t="shared" si="26"/>
        <v>0</v>
      </c>
      <c r="AA36" s="155">
        <f t="shared" si="26"/>
        <v>0</v>
      </c>
      <c r="AB36" s="155">
        <f t="shared" si="26"/>
        <v>0</v>
      </c>
      <c r="AC36" s="155">
        <f t="shared" si="26"/>
        <v>0</v>
      </c>
      <c r="AD36" s="192">
        <f t="shared" si="27"/>
        <v>0</v>
      </c>
      <c r="AE36" s="136" t="b">
        <f t="shared" si="28"/>
        <v>1</v>
      </c>
    </row>
    <row r="37" spans="1:31" ht="12.75" customHeight="1" x14ac:dyDescent="0.2">
      <c r="A37" s="101"/>
      <c r="B37" s="201" t="s">
        <v>771</v>
      </c>
      <c r="C37" s="253">
        <f>-'TB (2) - April'!D80-'TB (2) - April'!D90-'TB (2) - April'!D82-'TB (2) - April'!D81</f>
        <v>-1220.24</v>
      </c>
      <c r="D37" s="276">
        <f t="shared" si="23"/>
        <v>-803.57333333333327</v>
      </c>
      <c r="E37" s="252">
        <f t="shared" si="24"/>
        <v>-416.66666666666669</v>
      </c>
      <c r="F37" s="253">
        <f>-TB!D80-TB!D90-TB!D82-TB!D81</f>
        <v>-1850.69</v>
      </c>
      <c r="G37" s="278">
        <f t="shared" si="17"/>
        <v>-184.01999999999998</v>
      </c>
      <c r="H37" s="279">
        <f t="shared" si="9"/>
        <v>-11</v>
      </c>
      <c r="I37" s="254">
        <f t="shared" si="18"/>
        <v>-1666.67</v>
      </c>
      <c r="J37" s="235">
        <f t="shared" si="25"/>
        <v>3149.31</v>
      </c>
      <c r="K37" s="254">
        <v>-5000</v>
      </c>
      <c r="L37" s="382">
        <f t="shared" si="19"/>
        <v>2173.2999999999997</v>
      </c>
      <c r="M37" s="241">
        <v>-4023.99</v>
      </c>
      <c r="N37" s="359"/>
      <c r="O37" s="100"/>
      <c r="P37" s="140" t="s">
        <v>771</v>
      </c>
      <c r="Q37" s="183">
        <v>-5000</v>
      </c>
      <c r="R37" s="155">
        <f t="shared" ref="R37:AC39" si="29">$Q37/12</f>
        <v>-416.66666666666669</v>
      </c>
      <c r="S37" s="155">
        <f t="shared" si="29"/>
        <v>-416.66666666666669</v>
      </c>
      <c r="T37" s="155">
        <f t="shared" si="29"/>
        <v>-416.66666666666669</v>
      </c>
      <c r="U37" s="155">
        <f t="shared" si="29"/>
        <v>-416.66666666666669</v>
      </c>
      <c r="V37" s="155">
        <f t="shared" si="29"/>
        <v>-416.66666666666669</v>
      </c>
      <c r="W37" s="155">
        <f t="shared" si="29"/>
        <v>-416.66666666666669</v>
      </c>
      <c r="X37" s="155">
        <f t="shared" si="29"/>
        <v>-416.66666666666669</v>
      </c>
      <c r="Y37" s="155">
        <f t="shared" si="29"/>
        <v>-416.66666666666669</v>
      </c>
      <c r="Z37" s="155">
        <f t="shared" si="29"/>
        <v>-416.66666666666669</v>
      </c>
      <c r="AA37" s="155">
        <f t="shared" si="29"/>
        <v>-416.66666666666669</v>
      </c>
      <c r="AB37" s="155">
        <f t="shared" si="29"/>
        <v>-416.66666666666669</v>
      </c>
      <c r="AC37" s="155">
        <f t="shared" si="29"/>
        <v>-416.66666666666669</v>
      </c>
      <c r="AD37" s="192">
        <f t="shared" si="27"/>
        <v>-5000</v>
      </c>
      <c r="AE37" s="136" t="b">
        <f t="shared" si="28"/>
        <v>1</v>
      </c>
    </row>
    <row r="38" spans="1:31" ht="12.75" customHeight="1" x14ac:dyDescent="0.2">
      <c r="A38" s="101"/>
      <c r="B38" s="201" t="s">
        <v>777</v>
      </c>
      <c r="C38" s="253">
        <f>-'TB (2) - April'!D93-'TB (2) - April'!D92</f>
        <v>-1185.6600000000001</v>
      </c>
      <c r="D38" s="276">
        <f t="shared" si="23"/>
        <v>69.839999999999918</v>
      </c>
      <c r="E38" s="252">
        <f t="shared" si="24"/>
        <v>-1255.5</v>
      </c>
      <c r="F38" s="253">
        <f>-TB!D93-TB!D92</f>
        <v>-2476.21</v>
      </c>
      <c r="G38" s="278">
        <f t="shared" si="17"/>
        <v>2545.79</v>
      </c>
      <c r="H38" s="279">
        <f t="shared" si="9"/>
        <v>51</v>
      </c>
      <c r="I38" s="254">
        <f t="shared" si="18"/>
        <v>-5022</v>
      </c>
      <c r="J38" s="235">
        <f t="shared" si="25"/>
        <v>12589.79</v>
      </c>
      <c r="K38" s="254">
        <v>-15066</v>
      </c>
      <c r="L38" s="382">
        <f t="shared" si="19"/>
        <v>16523.79</v>
      </c>
      <c r="M38" s="241">
        <v>-19000</v>
      </c>
      <c r="N38" s="101"/>
      <c r="O38" s="100"/>
      <c r="P38" s="140" t="s">
        <v>777</v>
      </c>
      <c r="Q38" s="183">
        <v>-15066</v>
      </c>
      <c r="R38" s="155">
        <f t="shared" si="29"/>
        <v>-1255.5</v>
      </c>
      <c r="S38" s="155">
        <f t="shared" si="29"/>
        <v>-1255.5</v>
      </c>
      <c r="T38" s="155">
        <f t="shared" si="29"/>
        <v>-1255.5</v>
      </c>
      <c r="U38" s="155">
        <f t="shared" si="29"/>
        <v>-1255.5</v>
      </c>
      <c r="V38" s="155">
        <f t="shared" si="29"/>
        <v>-1255.5</v>
      </c>
      <c r="W38" s="155">
        <f t="shared" si="29"/>
        <v>-1255.5</v>
      </c>
      <c r="X38" s="155">
        <f t="shared" si="29"/>
        <v>-1255.5</v>
      </c>
      <c r="Y38" s="155">
        <f t="shared" si="29"/>
        <v>-1255.5</v>
      </c>
      <c r="Z38" s="155">
        <f t="shared" si="29"/>
        <v>-1255.5</v>
      </c>
      <c r="AA38" s="155">
        <f t="shared" si="29"/>
        <v>-1255.5</v>
      </c>
      <c r="AB38" s="155">
        <f t="shared" si="29"/>
        <v>-1255.5</v>
      </c>
      <c r="AC38" s="155">
        <f t="shared" si="29"/>
        <v>-1255.5</v>
      </c>
      <c r="AD38" s="192">
        <f t="shared" si="27"/>
        <v>-15066</v>
      </c>
      <c r="AE38" s="136" t="b">
        <f t="shared" si="28"/>
        <v>1</v>
      </c>
    </row>
    <row r="39" spans="1:31" ht="12.75" customHeight="1" x14ac:dyDescent="0.2">
      <c r="A39" s="101"/>
      <c r="B39" s="201" t="s">
        <v>778</v>
      </c>
      <c r="C39" s="253">
        <f>-'TB (2) - April'!D68-'TB (2) - April'!D83-'TB (2) - April'!D84-'TB (2) - April'!D85</f>
        <v>-359.89</v>
      </c>
      <c r="D39" s="276">
        <f t="shared" si="23"/>
        <v>140.11000000000001</v>
      </c>
      <c r="E39" s="252">
        <f t="shared" si="24"/>
        <v>-500</v>
      </c>
      <c r="F39" s="253">
        <f>-TB!D68-TB!D83-TB!D84-TB!D85</f>
        <v>-1544.26</v>
      </c>
      <c r="G39" s="278">
        <f t="shared" si="17"/>
        <v>455.74</v>
      </c>
      <c r="H39" s="279">
        <f t="shared" si="9"/>
        <v>23</v>
      </c>
      <c r="I39" s="254">
        <f t="shared" si="18"/>
        <v>-2000</v>
      </c>
      <c r="J39" s="235">
        <f t="shared" si="25"/>
        <v>4455.74</v>
      </c>
      <c r="K39" s="254">
        <v>-6000</v>
      </c>
      <c r="L39" s="382">
        <f t="shared" si="19"/>
        <v>4455.74</v>
      </c>
      <c r="M39" s="241">
        <v>-6000</v>
      </c>
      <c r="N39" s="359"/>
      <c r="O39" s="100"/>
      <c r="P39" s="140" t="s">
        <v>778</v>
      </c>
      <c r="Q39" s="183">
        <v>-6000</v>
      </c>
      <c r="R39" s="155">
        <f t="shared" si="29"/>
        <v>-500</v>
      </c>
      <c r="S39" s="155">
        <f t="shared" si="29"/>
        <v>-500</v>
      </c>
      <c r="T39" s="155">
        <f t="shared" si="29"/>
        <v>-500</v>
      </c>
      <c r="U39" s="155">
        <f t="shared" si="29"/>
        <v>-500</v>
      </c>
      <c r="V39" s="155">
        <f t="shared" si="29"/>
        <v>-500</v>
      </c>
      <c r="W39" s="155">
        <f t="shared" si="29"/>
        <v>-500</v>
      </c>
      <c r="X39" s="155">
        <f t="shared" si="29"/>
        <v>-500</v>
      </c>
      <c r="Y39" s="155">
        <f t="shared" si="29"/>
        <v>-500</v>
      </c>
      <c r="Z39" s="155">
        <f t="shared" si="29"/>
        <v>-500</v>
      </c>
      <c r="AA39" s="155">
        <f t="shared" si="29"/>
        <v>-500</v>
      </c>
      <c r="AB39" s="155">
        <f t="shared" si="29"/>
        <v>-500</v>
      </c>
      <c r="AC39" s="155">
        <f t="shared" si="29"/>
        <v>-500</v>
      </c>
      <c r="AD39" s="192">
        <f t="shared" si="27"/>
        <v>-6000</v>
      </c>
      <c r="AE39" s="136" t="b">
        <f t="shared" si="28"/>
        <v>1</v>
      </c>
    </row>
    <row r="40" spans="1:31" ht="12.75" customHeight="1" x14ac:dyDescent="0.2">
      <c r="A40" s="101"/>
      <c r="B40" s="201" t="s">
        <v>60</v>
      </c>
      <c r="C40" s="253">
        <f>-'TB (2) - April'!D94</f>
        <v>0</v>
      </c>
      <c r="D40" s="276">
        <f t="shared" si="23"/>
        <v>0</v>
      </c>
      <c r="E40" s="252">
        <f t="shared" si="24"/>
        <v>0</v>
      </c>
      <c r="F40" s="253">
        <f>-TB!D94</f>
        <v>0</v>
      </c>
      <c r="G40" s="278">
        <f t="shared" si="17"/>
        <v>0</v>
      </c>
      <c r="H40" s="279">
        <f t="shared" si="9"/>
        <v>0</v>
      </c>
      <c r="I40" s="254">
        <f t="shared" si="18"/>
        <v>0</v>
      </c>
      <c r="J40" s="235">
        <f t="shared" si="25"/>
        <v>0</v>
      </c>
      <c r="K40" s="254"/>
      <c r="L40" s="382">
        <f t="shared" si="19"/>
        <v>300</v>
      </c>
      <c r="M40" s="241">
        <v>-300</v>
      </c>
      <c r="N40" s="101"/>
      <c r="O40" s="100"/>
      <c r="P40" s="140" t="s">
        <v>60</v>
      </c>
      <c r="Q40" s="183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92">
        <f t="shared" ref="AD40" si="30">SUM(R40:AC40)</f>
        <v>0</v>
      </c>
      <c r="AE40" s="136" t="b">
        <f t="shared" ref="AE40" si="31">AD40=Q40</f>
        <v>1</v>
      </c>
    </row>
    <row r="41" spans="1:31" ht="12.75" customHeight="1" x14ac:dyDescent="0.2">
      <c r="A41" s="101"/>
      <c r="B41" s="202" t="s">
        <v>986</v>
      </c>
      <c r="C41" s="253">
        <f>-SUM('TB (2) - April'!D95:D100)</f>
        <v>0</v>
      </c>
      <c r="D41" s="276">
        <f t="shared" si="23"/>
        <v>0</v>
      </c>
      <c r="E41" s="252">
        <f t="shared" si="24"/>
        <v>0</v>
      </c>
      <c r="F41" s="253">
        <f>-SUM(TB!D95:D100)</f>
        <v>0</v>
      </c>
      <c r="G41" s="278">
        <f t="shared" si="17"/>
        <v>0</v>
      </c>
      <c r="H41" s="279">
        <f t="shared" si="9"/>
        <v>0</v>
      </c>
      <c r="I41" s="254">
        <f t="shared" si="18"/>
        <v>0</v>
      </c>
      <c r="J41" s="235">
        <f t="shared" si="25"/>
        <v>0</v>
      </c>
      <c r="K41" s="254"/>
      <c r="L41" s="382">
        <f t="shared" si="19"/>
        <v>84184</v>
      </c>
      <c r="M41" s="241">
        <v>-84184</v>
      </c>
      <c r="N41" s="101"/>
      <c r="O41" s="100"/>
      <c r="P41" s="146" t="s">
        <v>986</v>
      </c>
      <c r="Q41" s="187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92">
        <f t="shared" ref="AD41:AD42" si="32">SUM(R41:AC41)</f>
        <v>0</v>
      </c>
      <c r="AE41" s="136" t="b">
        <f t="shared" ref="AE41:AE42" si="33">AD41=Q41</f>
        <v>1</v>
      </c>
    </row>
    <row r="42" spans="1:31" ht="12.75" customHeight="1" thickBot="1" x14ac:dyDescent="0.25">
      <c r="A42" s="101"/>
      <c r="B42" s="318" t="s">
        <v>999</v>
      </c>
      <c r="C42" s="317">
        <f>-'TB (2) - April'!D105</f>
        <v>0</v>
      </c>
      <c r="D42" s="276">
        <f t="shared" si="23"/>
        <v>0</v>
      </c>
      <c r="E42" s="252">
        <f t="shared" si="24"/>
        <v>0</v>
      </c>
      <c r="F42" s="317">
        <f>-TB!D105</f>
        <v>0</v>
      </c>
      <c r="G42" s="278">
        <f t="shared" si="17"/>
        <v>0</v>
      </c>
      <c r="H42" s="279">
        <f t="shared" si="9"/>
        <v>0</v>
      </c>
      <c r="I42" s="254">
        <f t="shared" si="18"/>
        <v>0</v>
      </c>
      <c r="J42" s="235">
        <f t="shared" si="25"/>
        <v>0</v>
      </c>
      <c r="K42" s="385"/>
      <c r="L42" s="382">
        <f t="shared" si="19"/>
        <v>0</v>
      </c>
      <c r="M42" s="241"/>
      <c r="N42" s="101"/>
      <c r="O42" s="100"/>
      <c r="P42" s="146" t="s">
        <v>999</v>
      </c>
      <c r="Q42" s="187"/>
      <c r="R42" s="155"/>
      <c r="S42" s="155"/>
      <c r="T42" s="155"/>
      <c r="U42" s="155"/>
      <c r="V42" s="155"/>
      <c r="W42" s="155"/>
      <c r="X42" s="155"/>
      <c r="Y42" s="155"/>
      <c r="Z42" s="155"/>
      <c r="AA42" s="158"/>
      <c r="AB42" s="158"/>
      <c r="AC42" s="158"/>
      <c r="AD42" s="192">
        <f t="shared" si="32"/>
        <v>0</v>
      </c>
      <c r="AE42" s="136" t="b">
        <f t="shared" si="33"/>
        <v>1</v>
      </c>
    </row>
    <row r="43" spans="1:31" ht="12.75" customHeight="1" thickBot="1" x14ac:dyDescent="0.25">
      <c r="A43" s="101"/>
      <c r="B43" s="316" t="s">
        <v>143</v>
      </c>
      <c r="C43" s="238">
        <f>SUBTOTAL(9,C21:C42)</f>
        <v>-61981.45</v>
      </c>
      <c r="D43" s="280">
        <f>+C43-E43</f>
        <v>-24580.616666666661</v>
      </c>
      <c r="E43" s="240">
        <f>SUM(E21:E42)</f>
        <v>-37400.833333333336</v>
      </c>
      <c r="F43" s="238">
        <f>SUBTOTAL(9,F21:F42)</f>
        <v>-149183.82</v>
      </c>
      <c r="G43" s="280">
        <f t="shared" si="17"/>
        <v>419.51999999998952</v>
      </c>
      <c r="H43" s="281">
        <f t="shared" si="9"/>
        <v>0</v>
      </c>
      <c r="I43" s="240">
        <f>SUM(I21:I42)</f>
        <v>-149603.34</v>
      </c>
      <c r="J43" s="238">
        <f t="shared" si="25"/>
        <v>307126.18</v>
      </c>
      <c r="K43" s="240">
        <f>SUM(K21:K42)</f>
        <v>-456310</v>
      </c>
      <c r="L43" s="383">
        <f>SUBTOTAL(9,L21:L42)</f>
        <v>346996.36000000004</v>
      </c>
      <c r="M43" s="220">
        <f>SUBTOTAL(9,M21:M42)</f>
        <v>-496180.18</v>
      </c>
      <c r="N43" s="101"/>
      <c r="O43" s="100"/>
      <c r="P43" s="165" t="s">
        <v>143</v>
      </c>
      <c r="Q43" s="188">
        <f>SUM(Q21:Q42)</f>
        <v>-456310</v>
      </c>
      <c r="R43" s="166">
        <f>SUM(R21:R42)</f>
        <v>-37400.833333333336</v>
      </c>
      <c r="S43" s="166">
        <f t="shared" ref="R43:AC43" si="34">SUM(S21:S42)</f>
        <v>-37400.833333333336</v>
      </c>
      <c r="T43" s="166">
        <f t="shared" si="34"/>
        <v>-37400.833333333336</v>
      </c>
      <c r="U43" s="166">
        <f t="shared" si="34"/>
        <v>-37400.833333333336</v>
      </c>
      <c r="V43" s="166">
        <f t="shared" si="34"/>
        <v>-44900.833333333336</v>
      </c>
      <c r="W43" s="166">
        <f t="shared" si="34"/>
        <v>-37400.833333333336</v>
      </c>
      <c r="X43" s="166">
        <f t="shared" si="34"/>
        <v>-37400.833333333336</v>
      </c>
      <c r="Y43" s="166">
        <f t="shared" si="34"/>
        <v>-37400.833333333336</v>
      </c>
      <c r="Z43" s="166">
        <f t="shared" si="34"/>
        <v>-37400.833333333336</v>
      </c>
      <c r="AA43" s="166">
        <f t="shared" si="34"/>
        <v>-37400.833333333336</v>
      </c>
      <c r="AB43" s="166">
        <f t="shared" si="34"/>
        <v>-37400.833333333336</v>
      </c>
      <c r="AC43" s="166">
        <f t="shared" si="34"/>
        <v>-37400.833333333336</v>
      </c>
      <c r="AD43" s="197">
        <f>SUM(R43:AC43)</f>
        <v>-456309.99999999994</v>
      </c>
      <c r="AE43" s="167" t="b">
        <f>AD43=Q43</f>
        <v>1</v>
      </c>
    </row>
    <row r="44" spans="1:31" ht="12.75" customHeight="1" thickBot="1" x14ac:dyDescent="0.25">
      <c r="B44" s="214"/>
      <c r="C44" s="215"/>
      <c r="D44" s="282"/>
      <c r="E44" s="215"/>
      <c r="F44" s="215"/>
      <c r="G44" s="282"/>
      <c r="H44" s="283"/>
      <c r="I44" s="215"/>
      <c r="J44" s="215"/>
      <c r="K44" s="215"/>
      <c r="L44" s="216"/>
      <c r="M44" s="217"/>
      <c r="N44" s="101"/>
      <c r="O44" s="100"/>
      <c r="P44" s="171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3"/>
      <c r="AE44" s="174"/>
    </row>
    <row r="45" spans="1:31" ht="12.75" customHeight="1" thickBot="1" x14ac:dyDescent="0.25">
      <c r="B45" s="219" t="s">
        <v>956</v>
      </c>
      <c r="C45" s="242">
        <f>+C43+C18</f>
        <v>-47802.49</v>
      </c>
      <c r="D45" s="284">
        <f>+D43+D18</f>
        <v>-40068.323333333334</v>
      </c>
      <c r="E45" s="284">
        <f>+E43+E18</f>
        <v>-7734.1666666666679</v>
      </c>
      <c r="F45" s="242">
        <f>+F43+F18</f>
        <v>43787.200000000012</v>
      </c>
      <c r="G45" s="284">
        <f>+G43+G18</f>
        <v>-16634.550000000017</v>
      </c>
      <c r="H45" s="284">
        <f t="shared" ref="H45" si="35">+H43+H18</f>
        <v>-8</v>
      </c>
      <c r="I45" s="284">
        <f>+I43+I18</f>
        <v>60421.750000000029</v>
      </c>
      <c r="J45" s="242">
        <f>+F45-K45</f>
        <v>20097.200000000012</v>
      </c>
      <c r="K45" s="243">
        <f>K18+K43</f>
        <v>23690</v>
      </c>
      <c r="L45" s="383">
        <f>+L43+L18</f>
        <v>54790.660000000033</v>
      </c>
      <c r="M45" s="220">
        <f>+M43+M18</f>
        <v>-11003.460000000021</v>
      </c>
      <c r="N45" s="101"/>
      <c r="P45" s="168" t="s">
        <v>956</v>
      </c>
      <c r="Q45" s="149">
        <f>Q18+Q43</f>
        <v>23690</v>
      </c>
      <c r="R45" s="159">
        <f>R18+R43</f>
        <v>-7734.1666666666679</v>
      </c>
      <c r="S45" s="159">
        <f t="shared" ref="S45:AC45" si="36">S18+S43</f>
        <v>65533.343333333316</v>
      </c>
      <c r="T45" s="159">
        <f t="shared" si="36"/>
        <v>9191.5433333333349</v>
      </c>
      <c r="U45" s="159">
        <f t="shared" si="36"/>
        <v>-6568.9666666666672</v>
      </c>
      <c r="V45" s="159">
        <f t="shared" si="36"/>
        <v>-11716.476666666669</v>
      </c>
      <c r="W45" s="159">
        <f t="shared" si="36"/>
        <v>-2716.4766666666692</v>
      </c>
      <c r="X45" s="159">
        <f t="shared" si="36"/>
        <v>-4216.4766666666692</v>
      </c>
      <c r="Y45" s="159">
        <f t="shared" si="36"/>
        <v>-4216.4766666666692</v>
      </c>
      <c r="Z45" s="159">
        <f t="shared" si="36"/>
        <v>-2716.4666666666672</v>
      </c>
      <c r="AA45" s="159">
        <f t="shared" si="36"/>
        <v>-4216.4666666666672</v>
      </c>
      <c r="AB45" s="159">
        <f t="shared" si="36"/>
        <v>-4216.4666666666672</v>
      </c>
      <c r="AC45" s="159">
        <f t="shared" si="36"/>
        <v>-2716.4466666666704</v>
      </c>
      <c r="AD45" s="169">
        <f>ROUND(SUM(R45:AC45),0)</f>
        <v>23690</v>
      </c>
      <c r="AE45" s="170" t="b">
        <f>AD45=Q45</f>
        <v>1</v>
      </c>
    </row>
    <row r="46" spans="1:31" ht="12.75" customHeight="1" x14ac:dyDescent="0.2">
      <c r="B46" s="101"/>
      <c r="C46" s="111"/>
      <c r="D46" s="111"/>
      <c r="E46" s="111"/>
      <c r="F46" s="111"/>
      <c r="G46" s="111"/>
      <c r="H46" s="210"/>
      <c r="I46" s="111"/>
      <c r="J46" s="103"/>
      <c r="K46" s="104"/>
      <c r="L46" s="103"/>
      <c r="M46" s="104"/>
      <c r="O46" s="105"/>
      <c r="P46" s="105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</row>
    <row r="47" spans="1:31" ht="12.75" customHeight="1" x14ac:dyDescent="0.2">
      <c r="C47" s="110" t="b">
        <f>ROUND(C45,2)=ROUND(C48,2)</f>
        <v>1</v>
      </c>
      <c r="D47" s="110"/>
      <c r="E47" s="110"/>
      <c r="F47" s="110" t="b">
        <f>ROUND(F45,2)=ROUND(F48,2)</f>
        <v>1</v>
      </c>
      <c r="G47" s="110"/>
      <c r="H47" s="211"/>
      <c r="I47" s="110"/>
      <c r="K47" s="99"/>
      <c r="M47" s="99"/>
      <c r="O47" s="105"/>
    </row>
    <row r="48" spans="1:31" ht="12.75" customHeight="1" x14ac:dyDescent="0.2">
      <c r="C48" s="109">
        <f>-'TB (2) - April'!D113</f>
        <v>-47802.49</v>
      </c>
      <c r="D48" s="109"/>
      <c r="E48" s="199"/>
      <c r="F48" s="109">
        <f>-TB!D113</f>
        <v>43787.200000000026</v>
      </c>
      <c r="G48" s="109"/>
      <c r="H48" s="212"/>
      <c r="I48" s="199"/>
      <c r="K48" s="104"/>
      <c r="M48" s="104"/>
    </row>
    <row r="49" spans="2:30" ht="12.75" customHeight="1" x14ac:dyDescent="0.2">
      <c r="B49" s="105"/>
      <c r="C49" s="112">
        <f>ROUND(C45-C48,2)</f>
        <v>0</v>
      </c>
      <c r="D49" s="112"/>
      <c r="E49" s="199"/>
      <c r="F49" s="112">
        <f>ROUND(F45-F48,2)</f>
        <v>0</v>
      </c>
      <c r="G49" s="112"/>
      <c r="H49" s="213"/>
      <c r="I49" s="199"/>
      <c r="K49" s="99"/>
      <c r="M49" s="99"/>
    </row>
    <row r="50" spans="2:30" ht="12.75" customHeight="1" x14ac:dyDescent="0.2">
      <c r="C50" s="110"/>
      <c r="D50" s="110"/>
      <c r="E50" s="110"/>
      <c r="F50" s="110"/>
      <c r="G50" s="110"/>
      <c r="H50" s="211"/>
      <c r="I50" s="110"/>
      <c r="K50" s="99"/>
      <c r="M50" s="99"/>
      <c r="O50" s="105"/>
      <c r="P50" s="105"/>
      <c r="AD50" s="86"/>
    </row>
    <row r="51" spans="2:30" ht="12.75" customHeight="1" x14ac:dyDescent="0.2">
      <c r="C51" s="110"/>
      <c r="D51" s="110"/>
      <c r="E51" s="110"/>
      <c r="F51" s="110"/>
      <c r="G51" s="110"/>
      <c r="H51" s="211"/>
      <c r="I51" s="110"/>
      <c r="K51" s="108"/>
      <c r="M51" s="108"/>
      <c r="AD51" s="86"/>
    </row>
    <row r="52" spans="2:30" ht="12.75" customHeight="1" x14ac:dyDescent="0.2">
      <c r="B52" s="105"/>
      <c r="C52" s="105"/>
      <c r="D52" s="105"/>
      <c r="E52" s="105"/>
      <c r="F52" s="105"/>
      <c r="G52" s="105"/>
      <c r="I52" s="105"/>
      <c r="J52" s="86"/>
      <c r="K52" s="99"/>
      <c r="L52" s="86"/>
      <c r="M52" s="99"/>
      <c r="AD52" s="86"/>
    </row>
    <row r="53" spans="2:30" ht="12.75" customHeight="1" x14ac:dyDescent="0.2">
      <c r="C53" s="86"/>
      <c r="D53" s="86"/>
      <c r="E53" s="86"/>
      <c r="F53" s="86"/>
      <c r="G53" s="86"/>
      <c r="I53" s="86"/>
      <c r="J53" s="86"/>
      <c r="K53" s="99"/>
      <c r="L53" s="86"/>
      <c r="M53" s="99"/>
      <c r="AD53" s="86"/>
    </row>
    <row r="54" spans="2:30" ht="12.75" customHeight="1" x14ac:dyDescent="0.2">
      <c r="B54" s="105"/>
      <c r="C54" s="105"/>
      <c r="D54" s="105"/>
      <c r="E54" s="105"/>
      <c r="F54" s="105"/>
      <c r="G54" s="105"/>
      <c r="I54" s="105"/>
      <c r="J54" s="86"/>
      <c r="K54" s="99"/>
      <c r="L54" s="86"/>
      <c r="M54" s="99"/>
      <c r="AD54" s="86"/>
    </row>
    <row r="55" spans="2:30" ht="12.75" customHeight="1" x14ac:dyDescent="0.2">
      <c r="C55" s="86"/>
      <c r="D55" s="86"/>
      <c r="E55" s="86"/>
      <c r="F55" s="86"/>
      <c r="G55" s="86"/>
      <c r="I55" s="86"/>
      <c r="J55" s="86"/>
      <c r="K55" s="99"/>
      <c r="L55" s="86"/>
      <c r="M55" s="99"/>
      <c r="AD55" s="86"/>
    </row>
    <row r="56" spans="2:30" ht="12.75" customHeight="1" x14ac:dyDescent="0.2">
      <c r="C56" s="86"/>
      <c r="D56" s="86"/>
      <c r="E56" s="86"/>
      <c r="F56" s="86"/>
      <c r="G56" s="86"/>
      <c r="I56" s="86"/>
      <c r="J56" s="86"/>
      <c r="K56" s="99"/>
      <c r="L56" s="86"/>
      <c r="M56" s="99"/>
      <c r="AD56" s="86"/>
    </row>
    <row r="57" spans="2:30" ht="12.75" customHeight="1" x14ac:dyDescent="0.2">
      <c r="B57" s="105"/>
      <c r="C57" s="105"/>
      <c r="D57" s="105"/>
      <c r="E57" s="105"/>
      <c r="F57" s="105"/>
      <c r="G57" s="105"/>
      <c r="I57" s="105"/>
      <c r="J57" s="86"/>
      <c r="K57" s="99"/>
      <c r="L57" s="86"/>
      <c r="M57" s="99"/>
      <c r="AD57" s="86"/>
    </row>
    <row r="58" spans="2:30" ht="12.75" customHeight="1" x14ac:dyDescent="0.2">
      <c r="C58" s="86"/>
      <c r="D58" s="86"/>
      <c r="E58" s="86"/>
      <c r="F58" s="86"/>
      <c r="G58" s="86"/>
      <c r="I58" s="86"/>
      <c r="J58" s="86"/>
      <c r="K58" s="99"/>
      <c r="L58" s="86"/>
      <c r="M58" s="99"/>
      <c r="AD58" s="86"/>
    </row>
    <row r="59" spans="2:30" ht="12.75" customHeight="1" x14ac:dyDescent="0.2">
      <c r="B59" s="105"/>
      <c r="C59" s="105"/>
      <c r="D59" s="105"/>
      <c r="E59" s="105"/>
      <c r="F59" s="105"/>
      <c r="G59" s="105"/>
      <c r="I59" s="105"/>
      <c r="J59" s="86"/>
      <c r="K59" s="99"/>
      <c r="L59" s="86"/>
      <c r="M59" s="99"/>
      <c r="AD59" s="86"/>
    </row>
    <row r="60" spans="2:30" ht="12.75" customHeight="1" x14ac:dyDescent="0.2">
      <c r="B60" s="105"/>
      <c r="C60" s="105"/>
      <c r="D60" s="105"/>
      <c r="E60" s="105"/>
      <c r="F60" s="105"/>
      <c r="G60" s="105"/>
      <c r="I60" s="105"/>
      <c r="J60" s="86"/>
      <c r="K60" s="99"/>
      <c r="L60" s="86"/>
      <c r="M60" s="99"/>
      <c r="AD60" s="86"/>
    </row>
    <row r="61" spans="2:30" ht="12.75" customHeight="1" x14ac:dyDescent="0.2">
      <c r="B61" s="105"/>
      <c r="C61" s="105"/>
      <c r="D61" s="105"/>
      <c r="E61" s="105"/>
      <c r="F61" s="105"/>
      <c r="G61" s="105"/>
      <c r="I61" s="105"/>
      <c r="J61" s="86"/>
      <c r="K61" s="99"/>
      <c r="L61" s="86"/>
      <c r="M61" s="99"/>
      <c r="AD61" s="86"/>
    </row>
    <row r="62" spans="2:30" ht="12.75" customHeight="1" x14ac:dyDescent="0.2">
      <c r="C62" s="86"/>
      <c r="D62" s="86"/>
      <c r="E62" s="86"/>
      <c r="F62" s="86"/>
      <c r="G62" s="86"/>
      <c r="I62" s="86"/>
      <c r="J62" s="86"/>
      <c r="K62" s="99"/>
      <c r="L62" s="86"/>
      <c r="M62" s="99"/>
      <c r="AD62" s="86"/>
    </row>
    <row r="63" spans="2:30" ht="12.75" customHeight="1" x14ac:dyDescent="0.2">
      <c r="C63" s="86"/>
      <c r="D63" s="86"/>
      <c r="E63" s="86"/>
      <c r="F63" s="86"/>
      <c r="G63" s="86"/>
      <c r="I63" s="86"/>
      <c r="J63" s="86"/>
      <c r="K63" s="99"/>
      <c r="L63" s="86"/>
      <c r="M63" s="99"/>
      <c r="AD63" s="86"/>
    </row>
    <row r="64" spans="2:30" ht="12.75" customHeight="1" x14ac:dyDescent="0.2">
      <c r="B64" s="105"/>
      <c r="C64" s="105"/>
      <c r="D64" s="105"/>
      <c r="E64" s="105"/>
      <c r="F64" s="105"/>
      <c r="G64" s="105"/>
      <c r="I64" s="105"/>
      <c r="J64" s="86"/>
      <c r="L64" s="86"/>
      <c r="AD64" s="86"/>
    </row>
    <row r="65" spans="2:30" ht="12.75" customHeight="1" x14ac:dyDescent="0.2">
      <c r="C65" s="86"/>
      <c r="D65" s="86"/>
      <c r="E65" s="86"/>
      <c r="F65" s="86"/>
      <c r="G65" s="86"/>
      <c r="I65" s="86"/>
      <c r="J65" s="86"/>
      <c r="L65" s="86"/>
      <c r="AD65" s="86"/>
    </row>
    <row r="66" spans="2:30" ht="12.75" customHeight="1" x14ac:dyDescent="0.2">
      <c r="B66" s="105"/>
      <c r="C66" s="105"/>
      <c r="D66" s="105"/>
      <c r="E66" s="105"/>
      <c r="F66" s="105"/>
      <c r="G66" s="105"/>
      <c r="I66" s="105"/>
      <c r="J66" s="86"/>
      <c r="L66" s="86"/>
      <c r="AD66" s="86"/>
    </row>
    <row r="67" spans="2:30" ht="12.75" customHeight="1" x14ac:dyDescent="0.2">
      <c r="B67" s="105"/>
      <c r="AD67" s="86"/>
    </row>
    <row r="71" spans="2:30" ht="12.75" customHeight="1" x14ac:dyDescent="0.2">
      <c r="B71" s="105"/>
      <c r="AD71" s="86"/>
    </row>
    <row r="72" spans="2:30" ht="12.75" customHeight="1" x14ac:dyDescent="0.2">
      <c r="B72" s="105"/>
      <c r="AD72" s="86"/>
    </row>
    <row r="74" spans="2:30" ht="12.75" customHeight="1" x14ac:dyDescent="0.2">
      <c r="B74" s="105"/>
      <c r="C74" s="86"/>
      <c r="D74" s="86"/>
      <c r="E74" s="86"/>
      <c r="F74" s="86"/>
      <c r="G74" s="86"/>
      <c r="I74" s="86"/>
      <c r="J74" s="86"/>
      <c r="L74" s="86"/>
      <c r="AD74" s="86"/>
    </row>
    <row r="75" spans="2:30" ht="12.75" customHeight="1" x14ac:dyDescent="0.2">
      <c r="B75" s="105"/>
      <c r="C75" s="86"/>
      <c r="D75" s="86"/>
      <c r="E75" s="86"/>
      <c r="F75" s="86"/>
      <c r="G75" s="86"/>
      <c r="I75" s="86"/>
      <c r="J75" s="86"/>
      <c r="L75" s="86"/>
      <c r="AD75" s="86"/>
    </row>
  </sheetData>
  <mergeCells count="5">
    <mergeCell ref="J5:M5"/>
    <mergeCell ref="F5:I5"/>
    <mergeCell ref="P5:AE5"/>
    <mergeCell ref="AD6:AE6"/>
    <mergeCell ref="C5:E5"/>
  </mergeCells>
  <phoneticPr fontId="0" type="noConversion"/>
  <conditionalFormatting sqref="R6:AC6">
    <cfRule type="expression" dxfId="1" priority="2">
      <formula>R6&lt;=$B$3</formula>
    </cfRule>
  </conditionalFormatting>
  <conditionalFormatting sqref="Q6">
    <cfRule type="expression" dxfId="0" priority="1">
      <formula>Q6&lt;=$B$3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ignoredErrors>
    <ignoredError sqref="V25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42" sqref="F42"/>
    </sheetView>
  </sheetViews>
  <sheetFormatPr defaultRowHeight="12.75" x14ac:dyDescent="0.2"/>
  <cols>
    <col min="1" max="1" width="14.85546875" bestFit="1" customWidth="1"/>
    <col min="2" max="2" width="10.140625" bestFit="1" customWidth="1"/>
    <col min="6" max="6" width="21.7109375" bestFit="1" customWidth="1"/>
    <col min="7" max="7" width="23.7109375" bestFit="1" customWidth="1"/>
    <col min="8" max="8" width="15.5703125" bestFit="1" customWidth="1"/>
    <col min="9" max="9" width="17.7109375" bestFit="1" customWidth="1"/>
    <col min="10" max="10" width="14.85546875" bestFit="1" customWidth="1"/>
  </cols>
  <sheetData>
    <row r="1" spans="1:10" ht="19.5" customHeight="1" x14ac:dyDescent="0.2">
      <c r="A1" s="391" t="s">
        <v>1029</v>
      </c>
      <c r="B1" s="392" t="s">
        <v>1030</v>
      </c>
      <c r="C1" s="392" t="s">
        <v>1031</v>
      </c>
      <c r="D1" s="392" t="s">
        <v>1032</v>
      </c>
      <c r="E1" s="393"/>
      <c r="F1" s="392" t="s">
        <v>1033</v>
      </c>
      <c r="G1" s="392" t="s">
        <v>1034</v>
      </c>
      <c r="H1" s="394" t="s">
        <v>1035</v>
      </c>
      <c r="I1" s="394" t="s">
        <v>1036</v>
      </c>
      <c r="J1" s="392" t="s">
        <v>1037</v>
      </c>
    </row>
    <row r="2" spans="1:10" ht="15" x14ac:dyDescent="0.25">
      <c r="A2" s="395">
        <v>42369</v>
      </c>
      <c r="B2" s="396">
        <v>761265</v>
      </c>
      <c r="C2" s="397"/>
      <c r="D2" s="397"/>
      <c r="E2" s="398"/>
      <c r="F2" s="399"/>
      <c r="G2" s="399"/>
      <c r="H2" s="399"/>
      <c r="I2" s="399"/>
      <c r="J2" s="400"/>
    </row>
    <row r="3" spans="1:10" x14ac:dyDescent="0.2">
      <c r="A3" s="401" t="s">
        <v>832</v>
      </c>
      <c r="B3" s="399">
        <v>3482.16</v>
      </c>
      <c r="C3" s="399"/>
      <c r="D3" s="399"/>
      <c r="E3" s="398"/>
      <c r="F3" s="399"/>
      <c r="G3" s="399"/>
      <c r="H3" s="399"/>
      <c r="I3" s="399"/>
      <c r="J3" s="80"/>
    </row>
    <row r="4" spans="1:10" x14ac:dyDescent="0.2">
      <c r="A4" s="401" t="s">
        <v>1038</v>
      </c>
      <c r="B4" s="399">
        <v>1.6</v>
      </c>
      <c r="C4" s="399"/>
      <c r="D4" s="399"/>
      <c r="E4" s="398"/>
      <c r="F4" s="399"/>
      <c r="G4" s="399"/>
      <c r="H4" s="399"/>
      <c r="I4" s="399"/>
      <c r="J4" s="80"/>
    </row>
    <row r="5" spans="1:10" ht="15" x14ac:dyDescent="0.25">
      <c r="A5" s="401" t="s">
        <v>832</v>
      </c>
      <c r="B5" s="402"/>
      <c r="C5" s="399">
        <v>-3482.16</v>
      </c>
      <c r="D5" s="399"/>
      <c r="E5" s="398"/>
      <c r="F5" s="403">
        <f>0.59*C5</f>
        <v>-2054.4743999999996</v>
      </c>
      <c r="G5" s="399"/>
      <c r="H5" s="403">
        <f>0.41*C5</f>
        <v>-1427.6855999999998</v>
      </c>
      <c r="I5" s="399"/>
      <c r="J5" s="80"/>
    </row>
    <row r="6" spans="1:10" ht="15" x14ac:dyDescent="0.25">
      <c r="A6" s="401" t="s">
        <v>1038</v>
      </c>
      <c r="B6" s="402"/>
      <c r="C6" s="399">
        <v>-1.6</v>
      </c>
      <c r="D6" s="399"/>
      <c r="E6" s="398"/>
      <c r="F6" s="403">
        <f>0.59*C6</f>
        <v>-0.94399999999999995</v>
      </c>
      <c r="G6" s="399"/>
      <c r="H6" s="403">
        <f>0.41*C6</f>
        <v>-0.65600000000000003</v>
      </c>
      <c r="I6" s="399"/>
      <c r="J6" s="80"/>
    </row>
    <row r="7" spans="1:10" ht="15" x14ac:dyDescent="0.25">
      <c r="A7" s="401" t="s">
        <v>1039</v>
      </c>
      <c r="B7" s="402"/>
      <c r="C7" s="399"/>
      <c r="D7" s="404">
        <v>-1453.33</v>
      </c>
      <c r="E7" s="398"/>
      <c r="F7" s="403"/>
      <c r="G7" s="404">
        <f>-0.59*D7</f>
        <v>857.46469999999988</v>
      </c>
      <c r="H7" s="403"/>
      <c r="I7" s="405">
        <f>-0.41*D7</f>
        <v>595.86529999999993</v>
      </c>
      <c r="J7" s="80"/>
    </row>
    <row r="8" spans="1:10" ht="15" x14ac:dyDescent="0.25">
      <c r="A8" s="401" t="s">
        <v>1040</v>
      </c>
      <c r="B8" s="402"/>
      <c r="C8" s="406">
        <v>2008.33</v>
      </c>
      <c r="D8" s="399"/>
      <c r="E8" s="398"/>
      <c r="F8" s="403">
        <f>-0.59*C8</f>
        <v>-1184.9146999999998</v>
      </c>
      <c r="G8" s="399"/>
      <c r="H8" s="403"/>
      <c r="I8" s="399"/>
      <c r="J8" s="406">
        <f>-0.41*C8</f>
        <v>-823.41529999999989</v>
      </c>
    </row>
    <row r="9" spans="1:10" ht="15" x14ac:dyDescent="0.25">
      <c r="A9" s="407">
        <v>42460</v>
      </c>
      <c r="B9" s="408">
        <f>SUM(B2:D8)</f>
        <v>761820</v>
      </c>
      <c r="C9" s="409"/>
      <c r="D9" s="409"/>
      <c r="E9" s="393"/>
      <c r="F9" s="410"/>
      <c r="G9" s="410">
        <v>142.91</v>
      </c>
      <c r="H9" s="410"/>
      <c r="I9" s="410">
        <v>99.31</v>
      </c>
      <c r="J9" s="411"/>
    </row>
    <row r="10" spans="1:10" ht="15" x14ac:dyDescent="0.25">
      <c r="A10" s="401" t="s">
        <v>832</v>
      </c>
      <c r="B10" s="399">
        <v>4567.41</v>
      </c>
      <c r="C10" s="399"/>
      <c r="D10" s="399"/>
      <c r="E10" s="398"/>
      <c r="F10" s="403"/>
      <c r="G10" s="412"/>
      <c r="H10" s="403"/>
      <c r="I10" s="412"/>
      <c r="J10" s="80"/>
    </row>
    <row r="11" spans="1:10" ht="15" x14ac:dyDescent="0.25">
      <c r="A11" s="401" t="s">
        <v>1038</v>
      </c>
      <c r="B11" s="399">
        <v>1.95</v>
      </c>
      <c r="C11" s="399"/>
      <c r="D11" s="399"/>
      <c r="E11" s="398"/>
      <c r="F11" s="403"/>
      <c r="G11" s="412"/>
      <c r="H11" s="403"/>
      <c r="I11" s="412"/>
      <c r="J11" s="80"/>
    </row>
    <row r="12" spans="1:10" ht="15" x14ac:dyDescent="0.25">
      <c r="A12" s="401" t="s">
        <v>832</v>
      </c>
      <c r="B12" s="399"/>
      <c r="C12" s="399">
        <v>-4519.96</v>
      </c>
      <c r="D12" s="399"/>
      <c r="E12" s="398"/>
      <c r="F12" s="403">
        <f>0.59*C12</f>
        <v>-2666.7763999999997</v>
      </c>
      <c r="G12" s="412"/>
      <c r="H12" s="403">
        <f>0.41*C12</f>
        <v>-1853.1835999999998</v>
      </c>
      <c r="I12" s="412"/>
      <c r="J12" s="80"/>
    </row>
    <row r="13" spans="1:10" ht="15" x14ac:dyDescent="0.25">
      <c r="A13" s="401" t="s">
        <v>1038</v>
      </c>
      <c r="B13" s="399"/>
      <c r="C13" s="399">
        <v>-1.95</v>
      </c>
      <c r="D13" s="399"/>
      <c r="E13" s="398"/>
      <c r="F13" s="403">
        <f>0.59*C13</f>
        <v>-1.1504999999999999</v>
      </c>
      <c r="G13" s="412"/>
      <c r="H13" s="403">
        <f>0.41*C13</f>
        <v>-0.79949999999999999</v>
      </c>
      <c r="I13" s="412"/>
      <c r="J13" s="80"/>
    </row>
    <row r="14" spans="1:10" ht="15" x14ac:dyDescent="0.25">
      <c r="A14" s="401" t="s">
        <v>1039</v>
      </c>
      <c r="B14" s="399"/>
      <c r="C14" s="399"/>
      <c r="D14" s="413">
        <v>-1438.69</v>
      </c>
      <c r="E14" s="398"/>
      <c r="F14" s="403"/>
      <c r="G14" s="403">
        <f>-0.59*D14</f>
        <v>848.82709999999997</v>
      </c>
      <c r="H14" s="403"/>
      <c r="I14" s="403">
        <f>-0.41*D14</f>
        <v>589.86289999999997</v>
      </c>
      <c r="J14" s="80"/>
    </row>
    <row r="15" spans="1:10" ht="15" x14ac:dyDescent="0.25">
      <c r="A15" s="401" t="s">
        <v>1040</v>
      </c>
      <c r="B15" s="399"/>
      <c r="C15" s="406">
        <v>8206.24</v>
      </c>
      <c r="D15" s="399"/>
      <c r="E15" s="398"/>
      <c r="F15" s="403">
        <f>-0.59*C15</f>
        <v>-4841.6815999999999</v>
      </c>
      <c r="G15" s="412"/>
      <c r="H15" s="403"/>
      <c r="I15" s="403"/>
      <c r="J15" s="406">
        <f>-0.41*C15</f>
        <v>-3364.5583999999999</v>
      </c>
    </row>
    <row r="16" spans="1:10" ht="15" x14ac:dyDescent="0.25">
      <c r="A16" s="407">
        <v>42551</v>
      </c>
      <c r="B16" s="408">
        <f>SUM(B9:D15)</f>
        <v>768635.00000000012</v>
      </c>
      <c r="C16" s="409"/>
      <c r="D16" s="409"/>
      <c r="E16" s="393"/>
      <c r="F16" s="410"/>
      <c r="G16" s="414"/>
      <c r="H16" s="410"/>
      <c r="I16" s="410"/>
      <c r="J16" s="411"/>
    </row>
    <row r="17" spans="1:10" ht="15" x14ac:dyDescent="0.25">
      <c r="A17" s="401" t="s">
        <v>832</v>
      </c>
      <c r="B17" s="399">
        <v>6593.05</v>
      </c>
      <c r="C17" s="399"/>
      <c r="D17" s="399"/>
      <c r="E17" s="398"/>
      <c r="F17" s="403"/>
      <c r="G17" s="412"/>
      <c r="H17" s="403"/>
      <c r="I17" s="403"/>
      <c r="J17" s="80"/>
    </row>
    <row r="18" spans="1:10" ht="15" x14ac:dyDescent="0.25">
      <c r="A18" s="401" t="s">
        <v>1038</v>
      </c>
      <c r="B18" s="399">
        <v>2.94</v>
      </c>
      <c r="C18" s="399"/>
      <c r="D18" s="399"/>
      <c r="E18" s="398"/>
      <c r="F18" s="403"/>
      <c r="G18" s="412"/>
      <c r="H18" s="403"/>
      <c r="I18" s="403"/>
      <c r="J18" s="80"/>
    </row>
    <row r="19" spans="1:10" ht="15" x14ac:dyDescent="0.25">
      <c r="A19" s="401" t="s">
        <v>832</v>
      </c>
      <c r="B19" s="399"/>
      <c r="C19" s="399">
        <v>-6470.28</v>
      </c>
      <c r="D19" s="399"/>
      <c r="E19" s="398"/>
      <c r="F19" s="403">
        <f>0.59*C19</f>
        <v>-3817.4651999999996</v>
      </c>
      <c r="G19" s="412"/>
      <c r="H19" s="403">
        <f>0.41*C19</f>
        <v>-2652.8147999999997</v>
      </c>
      <c r="I19" s="403"/>
      <c r="J19" s="80"/>
    </row>
    <row r="20" spans="1:10" ht="15" x14ac:dyDescent="0.25">
      <c r="A20" s="401" t="s">
        <v>1038</v>
      </c>
      <c r="B20" s="399"/>
      <c r="C20" s="399">
        <v>-2.94</v>
      </c>
      <c r="D20" s="399"/>
      <c r="E20" s="398"/>
      <c r="F20" s="403">
        <f>0.59*C20</f>
        <v>-1.7345999999999999</v>
      </c>
      <c r="G20" s="412"/>
      <c r="H20" s="403">
        <f>0.41*C20</f>
        <v>-1.2053999999999998</v>
      </c>
      <c r="I20" s="403"/>
      <c r="J20" s="80"/>
    </row>
    <row r="21" spans="1:10" ht="15" x14ac:dyDescent="0.25">
      <c r="A21" s="401" t="s">
        <v>1039</v>
      </c>
      <c r="B21" s="399"/>
      <c r="C21" s="399"/>
      <c r="D21" s="413">
        <v>-1439.67</v>
      </c>
      <c r="E21" s="398"/>
      <c r="F21" s="403"/>
      <c r="G21" s="403">
        <f>-0.59*D21</f>
        <v>849.40530000000001</v>
      </c>
      <c r="H21" s="403"/>
      <c r="I21" s="403">
        <f>-0.41*D21</f>
        <v>590.26469999999995</v>
      </c>
      <c r="J21" s="80"/>
    </row>
    <row r="22" spans="1:10" ht="15" x14ac:dyDescent="0.25">
      <c r="A22" s="401" t="s">
        <v>1040</v>
      </c>
      <c r="B22" s="399"/>
      <c r="C22" s="406">
        <v>48642.9</v>
      </c>
      <c r="D22" s="399"/>
      <c r="E22" s="398"/>
      <c r="F22" s="403">
        <f>-0.59*C22</f>
        <v>-28699.310999999998</v>
      </c>
      <c r="G22" s="412"/>
      <c r="H22" s="403"/>
      <c r="I22" s="403"/>
      <c r="J22" s="406">
        <f>-0.41*C22</f>
        <v>-19943.589</v>
      </c>
    </row>
    <row r="23" spans="1:10" ht="15" x14ac:dyDescent="0.25">
      <c r="A23" s="407">
        <v>42643</v>
      </c>
      <c r="B23" s="408">
        <f>SUM(B16:D22)</f>
        <v>815961.00000000012</v>
      </c>
      <c r="C23" s="409"/>
      <c r="D23" s="409"/>
      <c r="E23" s="393"/>
      <c r="F23" s="410"/>
      <c r="G23" s="414"/>
      <c r="H23" s="410"/>
      <c r="I23" s="410"/>
      <c r="J23" s="411"/>
    </row>
    <row r="24" spans="1:10" ht="15" x14ac:dyDescent="0.25">
      <c r="A24" s="401" t="s">
        <v>832</v>
      </c>
      <c r="B24" s="399">
        <v>8683.9</v>
      </c>
      <c r="C24" s="399"/>
      <c r="D24" s="399"/>
      <c r="E24" s="398"/>
      <c r="F24" s="403"/>
      <c r="G24" s="412"/>
      <c r="H24" s="403"/>
      <c r="I24" s="403"/>
      <c r="J24" s="80"/>
    </row>
    <row r="25" spans="1:10" ht="15" x14ac:dyDescent="0.25">
      <c r="A25" s="401" t="s">
        <v>1038</v>
      </c>
      <c r="B25" s="399"/>
      <c r="C25" s="399"/>
      <c r="D25" s="399"/>
      <c r="E25" s="398"/>
      <c r="F25" s="403"/>
      <c r="G25" s="412"/>
      <c r="H25" s="403"/>
      <c r="I25" s="403"/>
      <c r="J25" s="80"/>
    </row>
    <row r="26" spans="1:10" ht="15" x14ac:dyDescent="0.25">
      <c r="A26" s="401" t="s">
        <v>832</v>
      </c>
      <c r="B26" s="399"/>
      <c r="C26" s="399">
        <v>-8517.85</v>
      </c>
      <c r="D26" s="399"/>
      <c r="E26" s="398"/>
      <c r="F26" s="403">
        <f>0.59*C26</f>
        <v>-5025.5315000000001</v>
      </c>
      <c r="G26" s="412"/>
      <c r="H26" s="403">
        <f>0.41*C26</f>
        <v>-3492.3184999999999</v>
      </c>
      <c r="I26" s="403"/>
      <c r="J26" s="80"/>
    </row>
    <row r="27" spans="1:10" ht="15" x14ac:dyDescent="0.25">
      <c r="A27" s="401" t="s">
        <v>1038</v>
      </c>
      <c r="B27" s="399"/>
      <c r="C27" s="399"/>
      <c r="D27" s="399"/>
      <c r="E27" s="398"/>
      <c r="F27" s="403"/>
      <c r="G27" s="412"/>
      <c r="H27" s="403">
        <f>0.41*D27</f>
        <v>0</v>
      </c>
      <c r="I27" s="403"/>
      <c r="J27" s="80"/>
    </row>
    <row r="28" spans="1:10" ht="15" x14ac:dyDescent="0.25">
      <c r="A28" s="401" t="s">
        <v>1039</v>
      </c>
      <c r="B28" s="399"/>
      <c r="C28" s="399"/>
      <c r="D28" s="413">
        <v>-1514.85</v>
      </c>
      <c r="E28" s="398"/>
      <c r="F28" s="403"/>
      <c r="G28" s="403">
        <f>-0.59*D28</f>
        <v>893.76149999999996</v>
      </c>
      <c r="H28" s="403"/>
      <c r="I28" s="403">
        <f>-0.41*D28</f>
        <v>621.08849999999995</v>
      </c>
      <c r="J28" s="80"/>
    </row>
    <row r="29" spans="1:10" ht="15" x14ac:dyDescent="0.25">
      <c r="A29" s="401" t="s">
        <v>1040</v>
      </c>
      <c r="B29" s="399"/>
      <c r="C29" s="406">
        <v>21575.8</v>
      </c>
      <c r="D29" s="399"/>
      <c r="E29" s="398"/>
      <c r="F29" s="403">
        <f>-0.59*C29</f>
        <v>-12729.722</v>
      </c>
      <c r="G29" s="412"/>
      <c r="H29" s="403"/>
      <c r="I29" s="403"/>
      <c r="J29" s="406">
        <f>-0.41*C29</f>
        <v>-8846.0779999999995</v>
      </c>
    </row>
    <row r="30" spans="1:10" ht="15" x14ac:dyDescent="0.25">
      <c r="A30" s="407">
        <v>42735</v>
      </c>
      <c r="B30" s="408">
        <f>SUM(B23:D29)</f>
        <v>836188.00000000023</v>
      </c>
      <c r="C30" s="409"/>
      <c r="D30" s="409"/>
      <c r="E30" s="393"/>
      <c r="F30" s="392"/>
      <c r="G30" s="414"/>
      <c r="H30" s="409"/>
      <c r="I30" s="410"/>
      <c r="J30" s="411"/>
    </row>
    <row r="31" spans="1:10" ht="15" x14ac:dyDescent="0.25">
      <c r="A31" s="415" t="s">
        <v>832</v>
      </c>
      <c r="B31" s="416">
        <v>3633.11</v>
      </c>
      <c r="C31" s="416"/>
      <c r="D31" s="416"/>
      <c r="E31" s="417"/>
      <c r="F31" s="416"/>
      <c r="G31" s="412"/>
      <c r="H31" s="418"/>
      <c r="I31" s="403"/>
      <c r="J31" s="419"/>
    </row>
    <row r="32" spans="1:10" ht="15" x14ac:dyDescent="0.25">
      <c r="A32" s="415" t="s">
        <v>1038</v>
      </c>
      <c r="B32" s="416"/>
      <c r="C32" s="416"/>
      <c r="D32" s="416"/>
      <c r="E32" s="417"/>
      <c r="F32" s="416"/>
      <c r="G32" s="412"/>
      <c r="H32" s="418"/>
      <c r="I32" s="403"/>
      <c r="J32" s="419"/>
    </row>
    <row r="33" spans="1:10" ht="15" x14ac:dyDescent="0.25">
      <c r="A33" s="415" t="s">
        <v>832</v>
      </c>
      <c r="B33" s="416"/>
      <c r="C33" s="416">
        <v>-3633.11</v>
      </c>
      <c r="D33" s="416"/>
      <c r="E33" s="417"/>
      <c r="F33" s="416">
        <f>0.59*C33</f>
        <v>-2143.5349000000001</v>
      </c>
      <c r="G33" s="412"/>
      <c r="H33" s="420">
        <f>0.41*C33</f>
        <v>-1489.5751</v>
      </c>
      <c r="I33" s="403"/>
      <c r="J33" s="419"/>
    </row>
    <row r="34" spans="1:10" ht="15" x14ac:dyDescent="0.25">
      <c r="A34" s="415" t="s">
        <v>1038</v>
      </c>
      <c r="B34" s="416"/>
      <c r="C34" s="416"/>
      <c r="D34" s="416"/>
      <c r="E34" s="417"/>
      <c r="F34" s="416"/>
      <c r="G34" s="412"/>
      <c r="H34" s="418">
        <f>0.41*D34</f>
        <v>0</v>
      </c>
      <c r="I34" s="403"/>
      <c r="J34" s="419"/>
    </row>
    <row r="35" spans="1:10" ht="15" x14ac:dyDescent="0.25">
      <c r="A35" s="415" t="s">
        <v>1039</v>
      </c>
      <c r="B35" s="416"/>
      <c r="C35" s="416"/>
      <c r="D35" s="413">
        <v>-1539.86</v>
      </c>
      <c r="E35" s="417"/>
      <c r="F35" s="416"/>
      <c r="G35" s="403">
        <f>-0.59*D35</f>
        <v>908.51739999999984</v>
      </c>
      <c r="H35" s="416"/>
      <c r="I35" s="403">
        <f>-0.41*D35</f>
        <v>631.34259999999995</v>
      </c>
      <c r="J35" s="419"/>
    </row>
    <row r="36" spans="1:10" x14ac:dyDescent="0.2">
      <c r="A36" s="415" t="s">
        <v>1040</v>
      </c>
      <c r="B36" s="416"/>
      <c r="C36" s="416">
        <v>27161.86</v>
      </c>
      <c r="D36" s="416"/>
      <c r="E36" s="417"/>
      <c r="F36" s="416">
        <f>-0.59*C36</f>
        <v>-16025.4974</v>
      </c>
      <c r="G36" s="416"/>
      <c r="H36" s="416"/>
      <c r="I36" s="416"/>
      <c r="J36" s="416">
        <f>-0.41*C36</f>
        <v>-11136.3626</v>
      </c>
    </row>
    <row r="37" spans="1:10" ht="15" x14ac:dyDescent="0.25">
      <c r="A37" s="421">
        <v>42825</v>
      </c>
      <c r="B37" s="422">
        <f>SUM(B30:D36)</f>
        <v>861810.00000000023</v>
      </c>
      <c r="C37" s="423"/>
      <c r="D37" s="423"/>
      <c r="E37" s="424"/>
      <c r="F37" s="425"/>
      <c r="G37" s="425"/>
      <c r="H37" s="425"/>
      <c r="I37" s="425"/>
      <c r="J37" s="426"/>
    </row>
    <row r="38" spans="1:10" ht="15" x14ac:dyDescent="0.25">
      <c r="A38" s="395"/>
      <c r="B38" s="396"/>
      <c r="C38" s="397"/>
      <c r="D38" s="397"/>
      <c r="E38" s="398"/>
      <c r="F38" s="399"/>
      <c r="G38" s="399"/>
      <c r="H38" s="399"/>
      <c r="I38" s="399"/>
      <c r="J38" s="4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12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C36" sqref="C36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42578125" customWidth="1"/>
    <col min="5" max="5" width="15.42578125" style="80" customWidth="1"/>
    <col min="6" max="6" width="11.85546875" style="80" bestFit="1" customWidth="1"/>
    <col min="7" max="7" width="6.42578125" style="80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438">
        <f>'Man Accs '!B3</f>
        <v>42855</v>
      </c>
      <c r="C2" s="439"/>
      <c r="E2" s="438">
        <v>42735</v>
      </c>
      <c r="F2" s="439"/>
      <c r="H2" s="438">
        <v>42369</v>
      </c>
      <c r="I2" s="439"/>
    </row>
    <row r="3" spans="1:12" ht="10.5" customHeight="1" x14ac:dyDescent="0.2">
      <c r="A3" s="43"/>
      <c r="B3" s="362"/>
      <c r="C3" s="363"/>
      <c r="D3" s="114"/>
      <c r="E3" s="362"/>
      <c r="F3" s="363"/>
      <c r="G3" s="114"/>
      <c r="H3" s="362"/>
      <c r="I3" s="363"/>
    </row>
    <row r="4" spans="1:12" x14ac:dyDescent="0.2">
      <c r="A4" s="44" t="s">
        <v>153</v>
      </c>
      <c r="B4" s="362"/>
      <c r="C4" s="363"/>
      <c r="D4" s="114"/>
      <c r="E4" s="362"/>
      <c r="F4" s="363"/>
      <c r="G4" s="114"/>
      <c r="H4" s="362"/>
      <c r="I4" s="363"/>
    </row>
    <row r="5" spans="1:12" x14ac:dyDescent="0.2">
      <c r="A5" s="43"/>
      <c r="B5" s="362"/>
      <c r="C5" s="363"/>
      <c r="D5" s="115"/>
      <c r="E5" s="362"/>
      <c r="F5" s="363"/>
      <c r="G5" s="115"/>
      <c r="H5" s="362"/>
      <c r="I5" s="363"/>
    </row>
    <row r="6" spans="1:12" x14ac:dyDescent="0.2">
      <c r="A6" s="43" t="s">
        <v>154</v>
      </c>
      <c r="B6" s="364"/>
      <c r="C6" s="365">
        <f>+TB!D5</f>
        <v>861810</v>
      </c>
      <c r="D6" s="115"/>
      <c r="E6" s="364"/>
      <c r="F6" s="365">
        <v>836188</v>
      </c>
      <c r="G6" s="115"/>
      <c r="H6" s="364"/>
      <c r="I6" s="365">
        <v>761265</v>
      </c>
    </row>
    <row r="7" spans="1:12" x14ac:dyDescent="0.2">
      <c r="A7" s="43"/>
      <c r="B7" s="364"/>
      <c r="C7" s="365"/>
      <c r="D7" s="115"/>
      <c r="E7" s="364"/>
      <c r="F7" s="365"/>
      <c r="G7" s="115"/>
      <c r="H7" s="364"/>
      <c r="I7" s="365"/>
    </row>
    <row r="8" spans="1:12" x14ac:dyDescent="0.2">
      <c r="A8" s="44" t="s">
        <v>155</v>
      </c>
      <c r="B8" s="364"/>
      <c r="C8" s="365"/>
      <c r="D8" s="115"/>
      <c r="E8" s="364"/>
      <c r="F8" s="365"/>
      <c r="G8" s="115"/>
      <c r="H8" s="364"/>
      <c r="I8" s="365"/>
    </row>
    <row r="9" spans="1:12" s="80" customFormat="1" x14ac:dyDescent="0.2">
      <c r="A9" s="44"/>
      <c r="B9" s="364"/>
      <c r="C9" s="365"/>
      <c r="D9" s="115"/>
      <c r="E9" s="364"/>
      <c r="F9" s="365"/>
      <c r="G9" s="115"/>
      <c r="H9" s="364"/>
      <c r="I9" s="365"/>
    </row>
    <row r="10" spans="1:12" x14ac:dyDescent="0.2">
      <c r="A10" s="43" t="s">
        <v>781</v>
      </c>
      <c r="B10" s="364">
        <f>TB!D6</f>
        <v>0</v>
      </c>
      <c r="C10" s="365"/>
      <c r="D10" s="115"/>
      <c r="E10" s="364"/>
      <c r="F10" s="365"/>
      <c r="G10" s="115"/>
      <c r="H10" s="364">
        <v>6173.17</v>
      </c>
      <c r="I10" s="365"/>
    </row>
    <row r="11" spans="1:12" s="80" customFormat="1" x14ac:dyDescent="0.2">
      <c r="A11" s="43" t="s">
        <v>806</v>
      </c>
      <c r="B11" s="364">
        <f>TB!D25</f>
        <v>0</v>
      </c>
      <c r="C11" s="365"/>
      <c r="D11" s="115"/>
      <c r="E11" s="364">
        <v>5472.56</v>
      </c>
      <c r="F11" s="365"/>
      <c r="G11" s="115"/>
      <c r="H11" s="364">
        <v>-4023.73</v>
      </c>
      <c r="I11" s="365"/>
    </row>
    <row r="12" spans="1:12" x14ac:dyDescent="0.2">
      <c r="A12" s="43" t="s">
        <v>817</v>
      </c>
      <c r="B12" s="364">
        <f>TB!D15</f>
        <v>14805.79</v>
      </c>
      <c r="C12" s="365"/>
      <c r="D12" s="115"/>
      <c r="E12" s="364">
        <v>11048.25</v>
      </c>
      <c r="F12" s="365"/>
      <c r="G12" s="115"/>
      <c r="H12" s="364">
        <v>236.79</v>
      </c>
      <c r="I12" s="365"/>
    </row>
    <row r="13" spans="1:12" s="80" customFormat="1" x14ac:dyDescent="0.2">
      <c r="A13" s="43" t="s">
        <v>1024</v>
      </c>
      <c r="B13" s="364"/>
      <c r="C13" s="365"/>
      <c r="D13" s="115"/>
      <c r="E13" s="364">
        <v>8517.85</v>
      </c>
      <c r="F13" s="365"/>
      <c r="G13" s="115"/>
      <c r="H13" s="364"/>
      <c r="I13" s="365"/>
    </row>
    <row r="14" spans="1:12" x14ac:dyDescent="0.2">
      <c r="A14" s="43" t="s">
        <v>156</v>
      </c>
      <c r="B14" s="364">
        <f>SUM(TB!D7:D10)+TB!D14</f>
        <v>127.49000000000001</v>
      </c>
      <c r="C14" s="365"/>
      <c r="D14" s="115"/>
      <c r="E14" s="364">
        <v>49782.73</v>
      </c>
      <c r="F14" s="365"/>
      <c r="G14" s="115"/>
      <c r="H14" s="364">
        <v>9217.17</v>
      </c>
      <c r="I14" s="365"/>
    </row>
    <row r="15" spans="1:12" x14ac:dyDescent="0.2">
      <c r="A15" s="43"/>
      <c r="B15" s="366">
        <f>SUM(B10:B14)</f>
        <v>14933.28</v>
      </c>
      <c r="C15" s="363"/>
      <c r="D15" s="115"/>
      <c r="E15" s="366">
        <f>SUM(E9:E14)</f>
        <v>74821.390000000014</v>
      </c>
      <c r="F15" s="363"/>
      <c r="G15" s="115"/>
      <c r="H15" s="366">
        <v>11603.4</v>
      </c>
      <c r="I15" s="363"/>
    </row>
    <row r="16" spans="1:12" x14ac:dyDescent="0.2">
      <c r="A16" s="44" t="s">
        <v>157</v>
      </c>
      <c r="B16" s="362"/>
      <c r="C16" s="363"/>
      <c r="D16" s="115"/>
      <c r="E16" s="362"/>
      <c r="F16" s="363"/>
      <c r="G16" s="115"/>
      <c r="H16" s="362"/>
      <c r="I16" s="363"/>
      <c r="K16" s="78"/>
      <c r="L16" s="78"/>
    </row>
    <row r="17" spans="1:12" x14ac:dyDescent="0.2">
      <c r="A17" s="43"/>
      <c r="B17" s="362"/>
      <c r="C17" s="363"/>
      <c r="D17" s="115"/>
      <c r="E17" s="362"/>
      <c r="F17" s="363"/>
      <c r="G17" s="115"/>
      <c r="H17" s="362"/>
      <c r="I17" s="363"/>
      <c r="K17" s="78"/>
      <c r="L17" s="78"/>
    </row>
    <row r="18" spans="1:12" ht="25.5" x14ac:dyDescent="0.2">
      <c r="A18" s="44" t="s">
        <v>158</v>
      </c>
      <c r="B18" s="362"/>
      <c r="C18" s="363"/>
      <c r="D18" s="115"/>
      <c r="E18" s="362"/>
      <c r="F18" s="363"/>
      <c r="G18" s="115"/>
      <c r="H18" s="362"/>
      <c r="I18" s="363"/>
      <c r="J18" s="78"/>
      <c r="K18" s="78"/>
      <c r="L18" s="78"/>
    </row>
    <row r="19" spans="1:12" s="80" customFormat="1" x14ac:dyDescent="0.2">
      <c r="A19" s="43" t="s">
        <v>170</v>
      </c>
      <c r="B19" s="364">
        <f>-TB!D16</f>
        <v>34054.660000000003</v>
      </c>
      <c r="C19" s="363"/>
      <c r="D19" s="115"/>
      <c r="E19" s="364">
        <v>29054.97</v>
      </c>
      <c r="F19" s="363"/>
      <c r="G19" s="115"/>
      <c r="H19" s="364">
        <v>-27904.38</v>
      </c>
      <c r="I19" s="363"/>
      <c r="K19" s="78"/>
      <c r="L19" s="78"/>
    </row>
    <row r="20" spans="1:12" x14ac:dyDescent="0.2">
      <c r="A20" s="43" t="s">
        <v>1001</v>
      </c>
      <c r="B20" s="364">
        <f>-TB!D12</f>
        <v>16200.99</v>
      </c>
      <c r="C20" s="363"/>
      <c r="D20" s="115"/>
      <c r="E20" s="364">
        <v>55982.36</v>
      </c>
      <c r="F20" s="363"/>
      <c r="G20" s="115"/>
      <c r="H20" s="364">
        <v>35905.03</v>
      </c>
      <c r="I20" s="363"/>
      <c r="K20" s="78"/>
      <c r="L20" s="78"/>
    </row>
    <row r="21" spans="1:12" x14ac:dyDescent="0.2">
      <c r="A21" s="43" t="s">
        <v>780</v>
      </c>
      <c r="B21" s="364">
        <f>-TB!D13-TB!D18-TB!D19-TB!D20</f>
        <v>0</v>
      </c>
      <c r="C21" s="363"/>
      <c r="D21" s="115"/>
      <c r="E21" s="364">
        <f>-[1]TB!G13-[1]TB!G18-[1]TB!G19-[1]TB!G20</f>
        <v>0</v>
      </c>
      <c r="F21" s="363"/>
      <c r="G21" s="115"/>
      <c r="H21" s="364">
        <v>0</v>
      </c>
      <c r="I21" s="363"/>
      <c r="K21" s="78"/>
      <c r="L21" s="78"/>
    </row>
    <row r="22" spans="1:12" s="80" customFormat="1" x14ac:dyDescent="0.2">
      <c r="A22" s="43" t="s">
        <v>807</v>
      </c>
      <c r="B22" s="364">
        <f>-TB!D24</f>
        <v>0</v>
      </c>
      <c r="C22" s="363"/>
      <c r="D22" s="115"/>
      <c r="E22" s="364">
        <v>5472.56</v>
      </c>
      <c r="F22" s="363"/>
      <c r="G22" s="115"/>
      <c r="H22" s="364">
        <v>-4023.73</v>
      </c>
      <c r="I22" s="363"/>
      <c r="K22" s="78"/>
      <c r="L22" s="78"/>
    </row>
    <row r="23" spans="1:12" x14ac:dyDescent="0.2">
      <c r="A23" s="43" t="s">
        <v>120</v>
      </c>
      <c r="B23" s="364">
        <f>-TB!D21</f>
        <v>316.24</v>
      </c>
      <c r="C23" s="363"/>
      <c r="D23" s="115"/>
      <c r="E23" s="364">
        <v>63195.839999999997</v>
      </c>
      <c r="F23" s="363"/>
      <c r="G23" s="115"/>
      <c r="H23" s="364">
        <v>29763.63</v>
      </c>
      <c r="I23" s="363"/>
      <c r="K23" s="78"/>
      <c r="L23" s="78"/>
    </row>
    <row r="24" spans="1:12" s="80" customFormat="1" x14ac:dyDescent="0.2">
      <c r="A24" s="43" t="s">
        <v>1008</v>
      </c>
      <c r="B24" s="364">
        <f>-TB!C22</f>
        <v>0</v>
      </c>
      <c r="C24" s="363"/>
      <c r="D24" s="115"/>
      <c r="E24" s="364">
        <f>-[1]TB!F22</f>
        <v>0</v>
      </c>
      <c r="F24" s="363"/>
      <c r="G24" s="115"/>
      <c r="H24" s="364">
        <v>748.54</v>
      </c>
      <c r="I24" s="363"/>
      <c r="K24" s="78"/>
      <c r="L24" s="78"/>
    </row>
    <row r="25" spans="1:12" x14ac:dyDescent="0.2">
      <c r="A25" s="43"/>
      <c r="B25" s="366">
        <f>SUM(B19:B24)</f>
        <v>50571.89</v>
      </c>
      <c r="C25" s="363"/>
      <c r="D25" s="115"/>
      <c r="E25" s="366">
        <f>SUM(E19:E24)</f>
        <v>153705.72999999998</v>
      </c>
      <c r="F25" s="363"/>
      <c r="G25" s="115"/>
      <c r="H25" s="366">
        <v>34489.089999999997</v>
      </c>
      <c r="I25" s="363"/>
      <c r="K25" s="78"/>
      <c r="L25" s="78"/>
    </row>
    <row r="26" spans="1:12" x14ac:dyDescent="0.2">
      <c r="A26" s="43"/>
      <c r="B26" s="362"/>
      <c r="C26" s="363"/>
      <c r="D26" s="115"/>
      <c r="E26" s="362"/>
      <c r="F26" s="363"/>
      <c r="G26" s="115"/>
      <c r="H26" s="362"/>
      <c r="I26" s="363"/>
      <c r="K26" s="78"/>
      <c r="L26" s="78"/>
    </row>
    <row r="27" spans="1:12" x14ac:dyDescent="0.2">
      <c r="A27" s="46"/>
      <c r="B27" s="362"/>
      <c r="C27" s="363"/>
      <c r="D27" s="115"/>
      <c r="E27" s="362"/>
      <c r="F27" s="363"/>
      <c r="G27" s="115"/>
      <c r="H27" s="362"/>
      <c r="I27" s="363"/>
      <c r="K27" s="78"/>
      <c r="L27" s="78"/>
    </row>
    <row r="28" spans="1:12" x14ac:dyDescent="0.2">
      <c r="A28" s="46" t="s">
        <v>167</v>
      </c>
      <c r="B28" s="362"/>
      <c r="C28" s="363">
        <f>+B15-B25</f>
        <v>-35638.61</v>
      </c>
      <c r="D28" s="115"/>
      <c r="E28" s="362"/>
      <c r="F28" s="363">
        <f>+E15-E25</f>
        <v>-78884.339999999967</v>
      </c>
      <c r="G28" s="115"/>
      <c r="H28" s="362"/>
      <c r="I28" s="363">
        <v>-22885.689999999995</v>
      </c>
      <c r="K28" s="78"/>
      <c r="L28" s="78"/>
    </row>
    <row r="29" spans="1:12" x14ac:dyDescent="0.2">
      <c r="A29" s="43"/>
      <c r="B29" s="362"/>
      <c r="C29" s="363"/>
      <c r="D29" s="115"/>
      <c r="E29" s="362"/>
      <c r="F29" s="363"/>
      <c r="G29" s="115"/>
      <c r="H29" s="362"/>
      <c r="I29" s="363"/>
      <c r="K29" s="78"/>
      <c r="L29" s="78"/>
    </row>
    <row r="30" spans="1:12" x14ac:dyDescent="0.2">
      <c r="A30" s="44" t="s">
        <v>159</v>
      </c>
      <c r="B30" s="362"/>
      <c r="C30" s="367">
        <f>+C28+C6</f>
        <v>826171.39</v>
      </c>
      <c r="D30" s="115"/>
      <c r="E30" s="362"/>
      <c r="F30" s="367">
        <f>+F28+F6</f>
        <v>757303.66</v>
      </c>
      <c r="G30" s="115"/>
      <c r="H30" s="362"/>
      <c r="I30" s="367">
        <v>738379.31</v>
      </c>
      <c r="K30" s="78"/>
      <c r="L30" s="78"/>
    </row>
    <row r="31" spans="1:12" x14ac:dyDescent="0.2">
      <c r="A31" s="43"/>
      <c r="B31" s="362"/>
      <c r="C31" s="363"/>
      <c r="D31" s="115"/>
      <c r="E31" s="362"/>
      <c r="F31" s="363"/>
      <c r="G31" s="115"/>
      <c r="H31" s="362"/>
      <c r="I31" s="363"/>
      <c r="K31" s="78"/>
      <c r="L31" s="78"/>
    </row>
    <row r="32" spans="1:12" x14ac:dyDescent="0.2">
      <c r="A32" s="43"/>
      <c r="B32" s="362"/>
      <c r="C32" s="363"/>
      <c r="D32" s="115"/>
      <c r="E32" s="362"/>
      <c r="F32" s="363"/>
      <c r="G32" s="115"/>
      <c r="H32" s="362"/>
      <c r="I32" s="363"/>
      <c r="K32" s="78"/>
      <c r="L32" s="78"/>
    </row>
    <row r="33" spans="1:12" x14ac:dyDescent="0.2">
      <c r="A33" s="43"/>
      <c r="B33" s="362"/>
      <c r="C33" s="363"/>
      <c r="D33" s="115"/>
      <c r="E33" s="362"/>
      <c r="F33" s="363"/>
      <c r="G33" s="115"/>
      <c r="H33" s="362"/>
      <c r="I33" s="363"/>
      <c r="K33" s="78"/>
      <c r="L33" s="78"/>
    </row>
    <row r="34" spans="1:12" x14ac:dyDescent="0.2">
      <c r="A34" s="43" t="s">
        <v>160</v>
      </c>
      <c r="B34" s="362"/>
      <c r="C34" s="365">
        <f>-TB!D28</f>
        <v>560482.93999999994</v>
      </c>
      <c r="D34" s="116"/>
      <c r="E34" s="362"/>
      <c r="F34" s="365">
        <v>545907.43000000005</v>
      </c>
      <c r="G34" s="116"/>
      <c r="H34" s="362"/>
      <c r="I34" s="365">
        <v>510875.26</v>
      </c>
      <c r="K34" s="78"/>
      <c r="L34" s="78"/>
    </row>
    <row r="35" spans="1:12" x14ac:dyDescent="0.2">
      <c r="A35" s="43" t="s">
        <v>161</v>
      </c>
      <c r="B35" s="362"/>
      <c r="C35" s="365">
        <f>-TB!D26-TB!D27</f>
        <v>221901.25000000012</v>
      </c>
      <c r="D35" s="116"/>
      <c r="E35" s="362"/>
      <c r="F35" s="365">
        <v>258842.91</v>
      </c>
      <c r="G35" s="116"/>
      <c r="H35" s="362"/>
      <c r="I35" s="365">
        <v>269310.73</v>
      </c>
      <c r="K35" s="48"/>
      <c r="L35" s="78"/>
    </row>
    <row r="36" spans="1:12" ht="12.75" customHeight="1" x14ac:dyDescent="0.2">
      <c r="A36" s="43" t="s">
        <v>818</v>
      </c>
      <c r="B36" s="362"/>
      <c r="C36" s="365">
        <f>'Man Accs '!F45</f>
        <v>43787.200000000012</v>
      </c>
      <c r="D36" s="115"/>
      <c r="E36" s="362"/>
      <c r="F36" s="368">
        <v>-47446.68</v>
      </c>
      <c r="G36" s="115"/>
      <c r="H36" s="362"/>
      <c r="I36" s="368">
        <v>-44214.680000000051</v>
      </c>
      <c r="K36" s="78"/>
      <c r="L36" s="78"/>
    </row>
    <row r="37" spans="1:12" x14ac:dyDescent="0.2">
      <c r="A37" s="43"/>
      <c r="B37" s="362"/>
      <c r="C37" s="363"/>
      <c r="D37" s="115"/>
      <c r="E37" s="362"/>
      <c r="F37" s="363"/>
      <c r="G37" s="115"/>
      <c r="H37" s="362"/>
      <c r="I37" s="363"/>
      <c r="K37" s="78"/>
      <c r="L37" s="78"/>
    </row>
    <row r="38" spans="1:12" x14ac:dyDescent="0.2">
      <c r="A38" s="45" t="s">
        <v>162</v>
      </c>
      <c r="B38" s="362"/>
      <c r="C38" s="367">
        <f>SUM(C34:C37)</f>
        <v>826171.39000000013</v>
      </c>
      <c r="D38" s="115"/>
      <c r="E38" s="362"/>
      <c r="F38" s="367">
        <f>SUM(F34:F37)</f>
        <v>757303.66</v>
      </c>
      <c r="G38" s="115"/>
      <c r="H38" s="362"/>
      <c r="I38" s="367">
        <v>735971.30999999994</v>
      </c>
      <c r="K38" s="78"/>
      <c r="L38" s="78"/>
    </row>
    <row r="39" spans="1:12" x14ac:dyDescent="0.2">
      <c r="A39" s="43"/>
      <c r="B39" s="362"/>
      <c r="C39" s="363"/>
      <c r="D39" s="115"/>
      <c r="E39" s="362"/>
      <c r="F39" s="363"/>
      <c r="G39" s="115"/>
      <c r="H39" s="362"/>
      <c r="I39" s="363"/>
      <c r="K39" s="78"/>
      <c r="L39" s="78"/>
    </row>
    <row r="40" spans="1:12" x14ac:dyDescent="0.2">
      <c r="B40" s="369" t="s">
        <v>1004</v>
      </c>
      <c r="C40" s="370">
        <f>TB!D4</f>
        <v>0</v>
      </c>
      <c r="D40" s="115"/>
      <c r="E40" s="369" t="s">
        <v>1004</v>
      </c>
      <c r="F40" s="370">
        <f>[1]TB!G4</f>
        <v>0</v>
      </c>
      <c r="G40" s="115"/>
      <c r="H40" s="122" t="s">
        <v>1004</v>
      </c>
      <c r="I40" s="117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4"/>
      <c r="E42" s="4"/>
      <c r="F42" s="4"/>
      <c r="G42" s="4"/>
      <c r="H42" s="1"/>
      <c r="I42" s="1"/>
      <c r="K42" s="78"/>
      <c r="L42" s="78"/>
    </row>
    <row r="43" spans="1:12" x14ac:dyDescent="0.2">
      <c r="B43" s="4"/>
      <c r="C43" s="113"/>
      <c r="D43" s="4"/>
      <c r="E43" s="4"/>
      <c r="F43" s="4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1"/>
      <c r="E44" s="1"/>
      <c r="F44" s="1"/>
      <c r="G44" s="1"/>
      <c r="H44" s="1"/>
      <c r="I44" s="1"/>
      <c r="K44" s="78"/>
      <c r="L44" s="78"/>
    </row>
    <row r="45" spans="1:12" x14ac:dyDescent="0.2">
      <c r="B45" s="1"/>
      <c r="C45" s="81"/>
      <c r="D45" s="1"/>
      <c r="E45" s="1"/>
      <c r="F45" s="1"/>
      <c r="G45" s="1"/>
      <c r="H45" s="1"/>
      <c r="I45" s="1"/>
      <c r="K45" s="78"/>
      <c r="L45" s="78"/>
    </row>
    <row r="46" spans="1:12" x14ac:dyDescent="0.2">
      <c r="B46" s="48"/>
      <c r="C46" s="82"/>
      <c r="D46" s="1"/>
      <c r="E46" s="1"/>
      <c r="F46" s="1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K47" s="78"/>
      <c r="L47" s="78"/>
    </row>
    <row r="48" spans="1:12" s="3" customFormat="1" x14ac:dyDescent="0.2">
      <c r="A48"/>
      <c r="B48" s="78"/>
      <c r="C48" s="48"/>
      <c r="D48"/>
      <c r="E48" s="80"/>
      <c r="F48" s="80"/>
      <c r="G48" s="80"/>
      <c r="H48"/>
      <c r="I48"/>
    </row>
    <row r="49" spans="1:9" x14ac:dyDescent="0.2">
      <c r="A49" s="6"/>
      <c r="B49" s="79"/>
      <c r="C49" s="65"/>
      <c r="D49" s="3"/>
      <c r="E49" s="3"/>
      <c r="F49" s="3"/>
      <c r="G49" s="3"/>
      <c r="H49" s="3"/>
      <c r="I49" s="3"/>
    </row>
    <row r="51" spans="1:9" x14ac:dyDescent="0.2">
      <c r="C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15" zoomScaleNormal="115" zoomScaleSheetLayoutView="70" workbookViewId="0">
      <pane ySplit="3" topLeftCell="A4" activePane="bottomLeft" state="frozen"/>
      <selection pane="bottomLeft" activeCell="D122" sqref="D122"/>
    </sheetView>
  </sheetViews>
  <sheetFormatPr defaultRowHeight="11.1" customHeight="1" x14ac:dyDescent="0.2"/>
  <cols>
    <col min="1" max="1" width="14.5703125" style="291" bestFit="1" customWidth="1"/>
    <col min="2" max="2" width="39.5703125" style="291" bestFit="1" customWidth="1"/>
    <col min="3" max="4" width="18.5703125" style="327" customWidth="1"/>
    <col min="5" max="5" width="7.140625" style="299" bestFit="1" customWidth="1"/>
    <col min="6" max="6" width="16.28515625" style="291" bestFit="1" customWidth="1"/>
    <col min="7" max="7" width="13" style="327" customWidth="1"/>
    <col min="8" max="16384" width="9.140625" style="291"/>
  </cols>
  <sheetData>
    <row r="1" spans="1:7" s="288" customFormat="1" ht="18.75" thickBot="1" x14ac:dyDescent="0.25">
      <c r="A1" s="285" t="s">
        <v>1012</v>
      </c>
      <c r="B1" s="286"/>
      <c r="C1" s="319"/>
      <c r="D1" s="319"/>
      <c r="E1" s="286"/>
      <c r="F1" s="287"/>
      <c r="G1" s="334"/>
    </row>
    <row r="2" spans="1:7" ht="11.1" customHeight="1" thickBot="1" x14ac:dyDescent="0.25">
      <c r="A2" s="289" t="s">
        <v>785</v>
      </c>
      <c r="B2" s="289" t="s">
        <v>786</v>
      </c>
      <c r="C2" s="320" t="s">
        <v>974</v>
      </c>
      <c r="D2" s="320" t="s">
        <v>923</v>
      </c>
      <c r="E2" s="290"/>
      <c r="F2" s="440" t="s">
        <v>940</v>
      </c>
      <c r="G2" s="441"/>
    </row>
    <row r="3" spans="1:7" ht="11.1" customHeight="1" thickBot="1" x14ac:dyDescent="0.25">
      <c r="A3" s="292"/>
      <c r="B3" s="292"/>
      <c r="C3" s="321">
        <f>SUM(C4:C111)</f>
        <v>1.155697759713803E-11</v>
      </c>
      <c r="D3" s="321">
        <f>SUM(D4:D111)</f>
        <v>1.2683187833317788E-12</v>
      </c>
      <c r="E3" s="293"/>
      <c r="F3" s="294">
        <f>SUM(F4:F111)</f>
        <v>-1.4210854715202004E-14</v>
      </c>
      <c r="G3" s="390" t="s">
        <v>1027</v>
      </c>
    </row>
    <row r="4" spans="1:7" ht="12.75" customHeight="1" x14ac:dyDescent="0.2">
      <c r="A4" s="295">
        <v>9999</v>
      </c>
      <c r="B4" s="296" t="s">
        <v>965</v>
      </c>
      <c r="C4" s="322"/>
      <c r="D4" s="328">
        <f t="shared" ref="D4:D29" si="0">+C4+F4</f>
        <v>0</v>
      </c>
      <c r="E4" s="297"/>
      <c r="F4" s="312">
        <f t="shared" ref="F4:F10" si="1">SUM(G4:G4)</f>
        <v>0</v>
      </c>
      <c r="G4" s="339"/>
    </row>
    <row r="5" spans="1:7" ht="12.75" customHeight="1" x14ac:dyDescent="0.2">
      <c r="A5" s="295" t="s">
        <v>787</v>
      </c>
      <c r="B5" s="296" t="s">
        <v>154</v>
      </c>
      <c r="C5" s="322"/>
      <c r="D5" s="328">
        <f t="shared" si="0"/>
        <v>0</v>
      </c>
      <c r="E5" s="297" t="s">
        <v>938</v>
      </c>
      <c r="F5" s="312">
        <f t="shared" si="1"/>
        <v>0</v>
      </c>
      <c r="G5" s="341"/>
    </row>
    <row r="6" spans="1:7" ht="12.75" customHeight="1" x14ac:dyDescent="0.2">
      <c r="A6" s="295" t="s">
        <v>788</v>
      </c>
      <c r="B6" s="296" t="s">
        <v>781</v>
      </c>
      <c r="C6" s="322"/>
      <c r="D6" s="328">
        <f t="shared" si="0"/>
        <v>0</v>
      </c>
      <c r="E6" s="297" t="s">
        <v>931</v>
      </c>
      <c r="F6" s="312">
        <f t="shared" si="1"/>
        <v>0</v>
      </c>
      <c r="G6" s="341"/>
    </row>
    <row r="7" spans="1:7" ht="12.75" customHeight="1" x14ac:dyDescent="0.2">
      <c r="A7" s="295" t="s">
        <v>789</v>
      </c>
      <c r="B7" s="296" t="s">
        <v>790</v>
      </c>
      <c r="C7" s="322">
        <v>-872.51</v>
      </c>
      <c r="D7" s="328">
        <f t="shared" si="0"/>
        <v>-872.51</v>
      </c>
      <c r="E7" s="297" t="s">
        <v>934</v>
      </c>
      <c r="F7" s="312">
        <f t="shared" si="1"/>
        <v>0</v>
      </c>
      <c r="G7" s="341"/>
    </row>
    <row r="8" spans="1:7" ht="12.75" customHeight="1" x14ac:dyDescent="0.2">
      <c r="A8" s="295" t="s">
        <v>791</v>
      </c>
      <c r="B8" s="296" t="s">
        <v>792</v>
      </c>
      <c r="C8" s="322">
        <v>-1691.33</v>
      </c>
      <c r="D8" s="328">
        <f t="shared" si="0"/>
        <v>-1691.33</v>
      </c>
      <c r="E8" s="297" t="s">
        <v>934</v>
      </c>
      <c r="F8" s="312">
        <f t="shared" si="1"/>
        <v>0</v>
      </c>
      <c r="G8" s="341"/>
    </row>
    <row r="9" spans="1:7" ht="12.75" customHeight="1" x14ac:dyDescent="0.2">
      <c r="A9" s="295" t="s">
        <v>793</v>
      </c>
      <c r="B9" s="296" t="s">
        <v>794</v>
      </c>
      <c r="C9" s="322">
        <v>-16156.22</v>
      </c>
      <c r="D9" s="328">
        <f t="shared" si="0"/>
        <v>-16156.22</v>
      </c>
      <c r="E9" s="297" t="s">
        <v>934</v>
      </c>
      <c r="F9" s="312">
        <f t="shared" si="1"/>
        <v>0</v>
      </c>
      <c r="G9" s="341"/>
    </row>
    <row r="10" spans="1:7" ht="12.75" customHeight="1" x14ac:dyDescent="0.2">
      <c r="A10" s="295" t="s">
        <v>795</v>
      </c>
      <c r="B10" s="296" t="s">
        <v>796</v>
      </c>
      <c r="C10" s="322"/>
      <c r="D10" s="328">
        <f t="shared" si="0"/>
        <v>0</v>
      </c>
      <c r="E10" s="297" t="s">
        <v>934</v>
      </c>
      <c r="F10" s="312">
        <f t="shared" si="1"/>
        <v>0</v>
      </c>
      <c r="G10" s="341"/>
    </row>
    <row r="11" spans="1:7" ht="12.75" customHeight="1" x14ac:dyDescent="0.2">
      <c r="A11" s="295" t="s">
        <v>1017</v>
      </c>
      <c r="B11" s="296" t="s">
        <v>1018</v>
      </c>
      <c r="C11" s="322"/>
      <c r="D11" s="328"/>
      <c r="E11" s="297"/>
      <c r="F11" s="312"/>
      <c r="G11" s="341"/>
    </row>
    <row r="12" spans="1:7" ht="12.75" customHeight="1" x14ac:dyDescent="0.2">
      <c r="A12" s="295" t="s">
        <v>797</v>
      </c>
      <c r="B12" s="296" t="s">
        <v>798</v>
      </c>
      <c r="C12" s="322">
        <v>-6657.59</v>
      </c>
      <c r="D12" s="328">
        <f t="shared" si="0"/>
        <v>-6657.59</v>
      </c>
      <c r="E12" s="297" t="s">
        <v>933</v>
      </c>
      <c r="F12" s="312">
        <f t="shared" ref="F12:F21" si="2">SUM(G12:G12)</f>
        <v>0</v>
      </c>
      <c r="G12" s="341"/>
    </row>
    <row r="13" spans="1:7" ht="12.75" customHeight="1" x14ac:dyDescent="0.2">
      <c r="A13" s="295" t="s">
        <v>799</v>
      </c>
      <c r="B13" s="296" t="s">
        <v>780</v>
      </c>
      <c r="C13" s="322"/>
      <c r="D13" s="328">
        <f t="shared" si="0"/>
        <v>0</v>
      </c>
      <c r="E13" s="297" t="s">
        <v>936</v>
      </c>
      <c r="F13" s="312">
        <f t="shared" si="2"/>
        <v>0</v>
      </c>
      <c r="G13" s="341"/>
    </row>
    <row r="14" spans="1:7" ht="12.75" customHeight="1" x14ac:dyDescent="0.2">
      <c r="A14" s="295" t="s">
        <v>1014</v>
      </c>
      <c r="B14" s="296" t="s">
        <v>1015</v>
      </c>
      <c r="C14" s="326">
        <v>44.8</v>
      </c>
      <c r="D14" s="352">
        <f t="shared" si="0"/>
        <v>44.8</v>
      </c>
      <c r="E14" s="297" t="s">
        <v>936</v>
      </c>
      <c r="F14" s="312">
        <f t="shared" si="2"/>
        <v>0</v>
      </c>
      <c r="G14" s="341"/>
    </row>
    <row r="15" spans="1:7" ht="12.75" customHeight="1" x14ac:dyDescent="0.2">
      <c r="A15" s="295" t="s">
        <v>816</v>
      </c>
      <c r="B15" s="296" t="s">
        <v>817</v>
      </c>
      <c r="C15" s="322">
        <v>-743.22</v>
      </c>
      <c r="D15" s="328">
        <f t="shared" si="0"/>
        <v>-743.22</v>
      </c>
      <c r="E15" s="297" t="s">
        <v>932</v>
      </c>
      <c r="F15" s="312">
        <f t="shared" si="2"/>
        <v>0</v>
      </c>
      <c r="G15" s="341"/>
    </row>
    <row r="16" spans="1:7" ht="12.75" customHeight="1" x14ac:dyDescent="0.2">
      <c r="A16" s="295" t="s">
        <v>783</v>
      </c>
      <c r="B16" s="296" t="s">
        <v>170</v>
      </c>
      <c r="C16" s="322">
        <v>-19729.66</v>
      </c>
      <c r="D16" s="328">
        <f t="shared" si="0"/>
        <v>-19729.66</v>
      </c>
      <c r="E16" s="297" t="s">
        <v>935</v>
      </c>
      <c r="F16" s="312">
        <f t="shared" si="2"/>
        <v>0</v>
      </c>
      <c r="G16" s="341"/>
    </row>
    <row r="17" spans="1:7" ht="12.75" customHeight="1" x14ac:dyDescent="0.2">
      <c r="A17" s="295" t="s">
        <v>694</v>
      </c>
      <c r="B17" s="296" t="s">
        <v>800</v>
      </c>
      <c r="C17" s="322"/>
      <c r="D17" s="328">
        <f t="shared" si="0"/>
        <v>0</v>
      </c>
      <c r="E17" s="297"/>
      <c r="F17" s="312">
        <f t="shared" si="2"/>
        <v>0</v>
      </c>
      <c r="G17" s="341"/>
    </row>
    <row r="18" spans="1:7" ht="12.75" customHeight="1" x14ac:dyDescent="0.2">
      <c r="A18" s="295" t="s">
        <v>801</v>
      </c>
      <c r="B18" s="296" t="s">
        <v>802</v>
      </c>
      <c r="C18" s="322"/>
      <c r="D18" s="328">
        <f t="shared" si="0"/>
        <v>0</v>
      </c>
      <c r="E18" s="297" t="s">
        <v>936</v>
      </c>
      <c r="F18" s="312">
        <f t="shared" si="2"/>
        <v>0</v>
      </c>
      <c r="G18" s="341"/>
    </row>
    <row r="19" spans="1:7" ht="12.75" customHeight="1" x14ac:dyDescent="0.2">
      <c r="A19" s="295" t="s">
        <v>926</v>
      </c>
      <c r="B19" s="296" t="s">
        <v>927</v>
      </c>
      <c r="C19" s="322"/>
      <c r="D19" s="328">
        <f t="shared" si="0"/>
        <v>0</v>
      </c>
      <c r="E19" s="297" t="s">
        <v>936</v>
      </c>
      <c r="F19" s="312">
        <f t="shared" si="2"/>
        <v>0</v>
      </c>
      <c r="G19" s="341"/>
    </row>
    <row r="20" spans="1:7" ht="12.75" customHeight="1" x14ac:dyDescent="0.2">
      <c r="A20" s="295" t="s">
        <v>814</v>
      </c>
      <c r="B20" s="296" t="s">
        <v>815</v>
      </c>
      <c r="C20" s="322"/>
      <c r="D20" s="328">
        <f t="shared" si="0"/>
        <v>0</v>
      </c>
      <c r="E20" s="297" t="s">
        <v>936</v>
      </c>
      <c r="F20" s="312">
        <f t="shared" si="2"/>
        <v>0</v>
      </c>
      <c r="G20" s="341"/>
    </row>
    <row r="21" spans="1:7" ht="12.75" customHeight="1" x14ac:dyDescent="0.2">
      <c r="A21" s="295" t="s">
        <v>664</v>
      </c>
      <c r="B21" s="296" t="s">
        <v>1005</v>
      </c>
      <c r="C21" s="322"/>
      <c r="D21" s="328">
        <f t="shared" si="0"/>
        <v>0</v>
      </c>
      <c r="E21" s="297" t="s">
        <v>139</v>
      </c>
      <c r="F21" s="312">
        <f t="shared" si="2"/>
        <v>0</v>
      </c>
      <c r="G21" s="341"/>
    </row>
    <row r="22" spans="1:7" ht="12.75" customHeight="1" x14ac:dyDescent="0.2">
      <c r="A22" s="295" t="s">
        <v>1007</v>
      </c>
      <c r="B22" s="296" t="s">
        <v>1006</v>
      </c>
      <c r="C22" s="322"/>
      <c r="D22" s="328">
        <f t="shared" si="0"/>
        <v>0</v>
      </c>
      <c r="E22" s="297"/>
      <c r="F22" s="312"/>
      <c r="G22" s="341"/>
    </row>
    <row r="23" spans="1:7" ht="12.75" customHeight="1" x14ac:dyDescent="0.2">
      <c r="A23" s="295" t="s">
        <v>803</v>
      </c>
      <c r="B23" s="296" t="s">
        <v>804</v>
      </c>
      <c r="C23" s="322"/>
      <c r="D23" s="328">
        <f t="shared" si="0"/>
        <v>0</v>
      </c>
      <c r="E23" s="297" t="s">
        <v>937</v>
      </c>
      <c r="F23" s="312">
        <f t="shared" ref="F23:F29" si="3">SUM(G23:G23)</f>
        <v>0</v>
      </c>
      <c r="G23" s="341"/>
    </row>
    <row r="24" spans="1:7" ht="12.75" customHeight="1" x14ac:dyDescent="0.2">
      <c r="A24" s="295" t="s">
        <v>805</v>
      </c>
      <c r="B24" s="296" t="s">
        <v>806</v>
      </c>
      <c r="C24" s="322">
        <v>1203.72</v>
      </c>
      <c r="D24" s="328">
        <f t="shared" si="0"/>
        <v>146.76999999999998</v>
      </c>
      <c r="E24" s="331" t="s">
        <v>937</v>
      </c>
      <c r="F24" s="328">
        <f t="shared" si="3"/>
        <v>-1056.95</v>
      </c>
      <c r="G24" s="341">
        <v>-1056.95</v>
      </c>
    </row>
    <row r="25" spans="1:7" ht="12.75" customHeight="1" x14ac:dyDescent="0.2">
      <c r="A25" s="295" t="s">
        <v>697</v>
      </c>
      <c r="B25" s="296" t="s">
        <v>807</v>
      </c>
      <c r="C25" s="322"/>
      <c r="D25" s="328">
        <f t="shared" si="0"/>
        <v>0</v>
      </c>
      <c r="E25" s="297" t="s">
        <v>937</v>
      </c>
      <c r="F25" s="312">
        <f t="shared" si="3"/>
        <v>0</v>
      </c>
      <c r="G25" s="341"/>
    </row>
    <row r="26" spans="1:7" ht="12.75" customHeight="1" x14ac:dyDescent="0.2">
      <c r="A26" s="295" t="s">
        <v>808</v>
      </c>
      <c r="B26" s="296" t="s">
        <v>809</v>
      </c>
      <c r="C26" s="322"/>
      <c r="D26" s="328">
        <f t="shared" si="0"/>
        <v>0</v>
      </c>
      <c r="E26" s="331" t="s">
        <v>139</v>
      </c>
      <c r="F26" s="328">
        <f t="shared" si="3"/>
        <v>0</v>
      </c>
      <c r="G26" s="341"/>
    </row>
    <row r="27" spans="1:7" ht="12.75" customHeight="1" x14ac:dyDescent="0.2">
      <c r="A27" s="295" t="s">
        <v>943</v>
      </c>
      <c r="B27" s="296" t="s">
        <v>964</v>
      </c>
      <c r="C27" s="322"/>
      <c r="D27" s="328">
        <f t="shared" si="0"/>
        <v>0</v>
      </c>
      <c r="E27" s="297"/>
      <c r="F27" s="312">
        <f t="shared" si="3"/>
        <v>0</v>
      </c>
      <c r="G27" s="341"/>
    </row>
    <row r="28" spans="1:7" ht="12.75" customHeight="1" x14ac:dyDescent="0.2">
      <c r="A28" s="300" t="s">
        <v>810</v>
      </c>
      <c r="B28" s="301" t="s">
        <v>811</v>
      </c>
      <c r="C28" s="322">
        <v>-2143.5300000000002</v>
      </c>
      <c r="D28" s="328">
        <f t="shared" si="0"/>
        <v>-2143.5300000000002</v>
      </c>
      <c r="E28" s="331" t="s">
        <v>939</v>
      </c>
      <c r="F28" s="328">
        <f t="shared" si="3"/>
        <v>0</v>
      </c>
      <c r="G28" s="341"/>
    </row>
    <row r="29" spans="1:7" ht="12.75" customHeight="1" thickBot="1" x14ac:dyDescent="0.25">
      <c r="A29" s="303" t="s">
        <v>812</v>
      </c>
      <c r="B29" s="304" t="s">
        <v>813</v>
      </c>
      <c r="C29" s="321"/>
      <c r="D29" s="329">
        <f t="shared" si="0"/>
        <v>0</v>
      </c>
      <c r="E29" s="305"/>
      <c r="F29" s="313">
        <f t="shared" si="3"/>
        <v>0</v>
      </c>
      <c r="G29" s="345"/>
    </row>
    <row r="30" spans="1:7" ht="12.75" customHeight="1" x14ac:dyDescent="0.2">
      <c r="A30" s="306"/>
      <c r="B30" s="307"/>
      <c r="C30" s="323"/>
      <c r="D30" s="323"/>
      <c r="E30" s="308"/>
      <c r="F30" s="314"/>
      <c r="G30" s="346"/>
    </row>
    <row r="31" spans="1:7" ht="12.75" customHeight="1" thickBot="1" x14ac:dyDescent="0.25">
      <c r="A31" s="303"/>
      <c r="B31" s="304"/>
      <c r="C31" s="324"/>
      <c r="D31" s="324"/>
      <c r="E31" s="305"/>
      <c r="F31" s="315"/>
      <c r="G31" s="347"/>
    </row>
    <row r="32" spans="1:7" ht="12.75" customHeight="1" x14ac:dyDescent="0.2">
      <c r="A32" s="291" t="s">
        <v>822</v>
      </c>
      <c r="B32" s="291" t="s">
        <v>823</v>
      </c>
      <c r="C32" s="322"/>
      <c r="D32" s="328">
        <f t="shared" ref="D32:D95" si="4">+C32+F32</f>
        <v>0</v>
      </c>
      <c r="E32" s="297"/>
      <c r="F32" s="312">
        <f t="shared" ref="F32:F52" si="5">SUM(G32:G32)</f>
        <v>0</v>
      </c>
      <c r="G32" s="341"/>
    </row>
    <row r="33" spans="1:7" ht="12.75" customHeight="1" x14ac:dyDescent="0.2">
      <c r="A33" s="291" t="s">
        <v>824</v>
      </c>
      <c r="B33" s="291" t="s">
        <v>966</v>
      </c>
      <c r="C33" s="325">
        <v>-1165.2</v>
      </c>
      <c r="D33" s="330">
        <f t="shared" si="4"/>
        <v>-1165.2</v>
      </c>
      <c r="E33" s="297"/>
      <c r="F33" s="312">
        <f t="shared" si="5"/>
        <v>0</v>
      </c>
      <c r="G33" s="341"/>
    </row>
    <row r="34" spans="1:7" ht="12.75" customHeight="1" x14ac:dyDescent="0.2">
      <c r="A34" s="291" t="s">
        <v>825</v>
      </c>
      <c r="B34" s="291" t="s">
        <v>826</v>
      </c>
      <c r="C34" s="325"/>
      <c r="D34" s="330">
        <f t="shared" si="4"/>
        <v>0</v>
      </c>
      <c r="E34" s="297"/>
      <c r="F34" s="312">
        <f t="shared" si="5"/>
        <v>0</v>
      </c>
      <c r="G34" s="341"/>
    </row>
    <row r="35" spans="1:7" ht="12.75" customHeight="1" x14ac:dyDescent="0.2">
      <c r="A35" s="291" t="s">
        <v>827</v>
      </c>
      <c r="B35" s="291" t="s">
        <v>967</v>
      </c>
      <c r="C35" s="325"/>
      <c r="D35" s="330">
        <f t="shared" si="4"/>
        <v>0</v>
      </c>
      <c r="E35" s="297"/>
      <c r="F35" s="312">
        <f t="shared" si="5"/>
        <v>0</v>
      </c>
      <c r="G35" s="341"/>
    </row>
    <row r="36" spans="1:7" ht="12.75" customHeight="1" x14ac:dyDescent="0.2">
      <c r="A36" s="291" t="s">
        <v>828</v>
      </c>
      <c r="B36" s="291" t="s">
        <v>782</v>
      </c>
      <c r="C36" s="325"/>
      <c r="D36" s="330">
        <f t="shared" si="4"/>
        <v>0</v>
      </c>
      <c r="E36" s="297"/>
      <c r="F36" s="312">
        <f t="shared" si="5"/>
        <v>0</v>
      </c>
      <c r="G36" s="341"/>
    </row>
    <row r="37" spans="1:7" ht="12.75" customHeight="1" x14ac:dyDescent="0.2">
      <c r="A37" s="295" t="s">
        <v>829</v>
      </c>
      <c r="B37" s="295" t="s">
        <v>830</v>
      </c>
      <c r="C37" s="325"/>
      <c r="D37" s="330">
        <f t="shared" si="4"/>
        <v>0</v>
      </c>
      <c r="E37" s="297"/>
      <c r="F37" s="312">
        <f t="shared" si="5"/>
        <v>0</v>
      </c>
      <c r="G37" s="341"/>
    </row>
    <row r="38" spans="1:7" ht="12.75" customHeight="1" x14ac:dyDescent="0.2">
      <c r="A38" s="295" t="s">
        <v>831</v>
      </c>
      <c r="B38" s="296" t="s">
        <v>832</v>
      </c>
      <c r="C38" s="353">
        <v>-1489.58</v>
      </c>
      <c r="D38" s="354">
        <f t="shared" si="4"/>
        <v>-1489.58</v>
      </c>
      <c r="E38" s="297"/>
      <c r="F38" s="312">
        <f t="shared" si="5"/>
        <v>0</v>
      </c>
      <c r="G38" s="341"/>
    </row>
    <row r="39" spans="1:7" ht="12.75" customHeight="1" x14ac:dyDescent="0.2">
      <c r="A39" s="295" t="s">
        <v>833</v>
      </c>
      <c r="B39" s="296" t="s">
        <v>834</v>
      </c>
      <c r="C39" s="325"/>
      <c r="D39" s="330">
        <f t="shared" si="4"/>
        <v>0</v>
      </c>
      <c r="E39" s="297"/>
      <c r="F39" s="312">
        <f t="shared" si="5"/>
        <v>0</v>
      </c>
      <c r="G39" s="341"/>
    </row>
    <row r="40" spans="1:7" ht="12.75" customHeight="1" x14ac:dyDescent="0.2">
      <c r="A40" s="295" t="s">
        <v>835</v>
      </c>
      <c r="B40" s="296" t="s">
        <v>836</v>
      </c>
      <c r="C40" s="325">
        <v>-214.8</v>
      </c>
      <c r="D40" s="330">
        <f t="shared" si="4"/>
        <v>-214.8</v>
      </c>
      <c r="E40" s="297"/>
      <c r="F40" s="312">
        <f t="shared" si="5"/>
        <v>0</v>
      </c>
      <c r="G40" s="341"/>
    </row>
    <row r="41" spans="1:7" ht="12.75" customHeight="1" x14ac:dyDescent="0.2">
      <c r="A41" s="295" t="s">
        <v>837</v>
      </c>
      <c r="B41" s="296" t="s">
        <v>838</v>
      </c>
      <c r="C41" s="325"/>
      <c r="D41" s="330">
        <f t="shared" si="4"/>
        <v>0</v>
      </c>
      <c r="E41" s="297"/>
      <c r="F41" s="312">
        <f t="shared" si="5"/>
        <v>0</v>
      </c>
      <c r="G41" s="341"/>
    </row>
    <row r="42" spans="1:7" ht="12.75" customHeight="1" x14ac:dyDescent="0.2">
      <c r="A42" s="295" t="s">
        <v>839</v>
      </c>
      <c r="B42" s="296" t="s">
        <v>5</v>
      </c>
      <c r="C42" s="325"/>
      <c r="D42" s="330">
        <f t="shared" si="4"/>
        <v>0</v>
      </c>
      <c r="E42" s="297"/>
      <c r="F42" s="312">
        <f t="shared" si="5"/>
        <v>0</v>
      </c>
      <c r="G42" s="341"/>
    </row>
    <row r="43" spans="1:7" ht="12.75" customHeight="1" x14ac:dyDescent="0.2">
      <c r="A43" s="295" t="s">
        <v>840</v>
      </c>
      <c r="B43" s="296" t="s">
        <v>6</v>
      </c>
      <c r="C43" s="325"/>
      <c r="D43" s="330">
        <f t="shared" si="4"/>
        <v>0</v>
      </c>
      <c r="E43" s="297"/>
      <c r="F43" s="312">
        <f t="shared" si="5"/>
        <v>0</v>
      </c>
      <c r="G43" s="341"/>
    </row>
    <row r="44" spans="1:7" ht="12.75" customHeight="1" x14ac:dyDescent="0.2">
      <c r="A44" s="295" t="s">
        <v>841</v>
      </c>
      <c r="B44" s="296" t="s">
        <v>92</v>
      </c>
      <c r="C44" s="325"/>
      <c r="D44" s="330">
        <f t="shared" si="4"/>
        <v>0</v>
      </c>
      <c r="E44" s="297"/>
      <c r="F44" s="312">
        <f t="shared" si="5"/>
        <v>0</v>
      </c>
      <c r="G44" s="341"/>
    </row>
    <row r="45" spans="1:7" ht="12.75" customHeight="1" x14ac:dyDescent="0.2">
      <c r="A45" s="295" t="s">
        <v>842</v>
      </c>
      <c r="B45" s="296" t="s">
        <v>843</v>
      </c>
      <c r="C45" s="325">
        <v>-11309.38</v>
      </c>
      <c r="D45" s="330">
        <f t="shared" si="4"/>
        <v>-11309.38</v>
      </c>
      <c r="E45" s="297"/>
      <c r="F45" s="312">
        <f t="shared" si="5"/>
        <v>0</v>
      </c>
      <c r="G45" s="341"/>
    </row>
    <row r="46" spans="1:7" ht="12.75" customHeight="1" x14ac:dyDescent="0.2">
      <c r="A46" s="295" t="s">
        <v>959</v>
      </c>
      <c r="B46" s="296" t="s">
        <v>960</v>
      </c>
      <c r="C46" s="325"/>
      <c r="D46" s="330">
        <f t="shared" si="4"/>
        <v>0</v>
      </c>
      <c r="E46" s="297"/>
      <c r="F46" s="312">
        <f t="shared" si="5"/>
        <v>0</v>
      </c>
      <c r="G46" s="341"/>
    </row>
    <row r="47" spans="1:7" ht="12.75" customHeight="1" x14ac:dyDescent="0.2">
      <c r="A47" s="295" t="s">
        <v>844</v>
      </c>
      <c r="B47" s="296" t="s">
        <v>845</v>
      </c>
      <c r="C47" s="325"/>
      <c r="D47" s="330">
        <f t="shared" si="4"/>
        <v>0</v>
      </c>
      <c r="E47" s="297"/>
      <c r="F47" s="312">
        <f t="shared" si="5"/>
        <v>0</v>
      </c>
      <c r="G47" s="341"/>
    </row>
    <row r="48" spans="1:7" ht="12.75" customHeight="1" x14ac:dyDescent="0.2">
      <c r="A48" s="295" t="s">
        <v>846</v>
      </c>
      <c r="B48" s="296" t="s">
        <v>847</v>
      </c>
      <c r="C48" s="325"/>
      <c r="D48" s="330">
        <f t="shared" si="4"/>
        <v>0</v>
      </c>
      <c r="E48" s="297"/>
      <c r="F48" s="312">
        <f t="shared" si="5"/>
        <v>0</v>
      </c>
      <c r="G48" s="341"/>
    </row>
    <row r="49" spans="1:7" ht="12.75" customHeight="1" x14ac:dyDescent="0.2">
      <c r="A49" s="295" t="s">
        <v>848</v>
      </c>
      <c r="B49" s="296" t="s">
        <v>849</v>
      </c>
      <c r="C49" s="325"/>
      <c r="D49" s="330">
        <f t="shared" si="4"/>
        <v>0</v>
      </c>
      <c r="E49" s="297"/>
      <c r="F49" s="312">
        <f t="shared" si="5"/>
        <v>0</v>
      </c>
      <c r="G49" s="341"/>
    </row>
    <row r="50" spans="1:7" ht="12.75" customHeight="1" x14ac:dyDescent="0.2">
      <c r="A50" s="298" t="s">
        <v>975</v>
      </c>
      <c r="B50" s="298" t="s">
        <v>989</v>
      </c>
      <c r="C50" s="325"/>
      <c r="D50" s="330">
        <f t="shared" si="4"/>
        <v>0</v>
      </c>
      <c r="E50" s="297"/>
      <c r="F50" s="312">
        <f t="shared" si="5"/>
        <v>0</v>
      </c>
      <c r="G50" s="341"/>
    </row>
    <row r="51" spans="1:7" ht="12.75" customHeight="1" x14ac:dyDescent="0.2">
      <c r="A51" s="298" t="s">
        <v>976</v>
      </c>
      <c r="B51" s="298" t="s">
        <v>990</v>
      </c>
      <c r="C51" s="325"/>
      <c r="D51" s="330">
        <f t="shared" si="4"/>
        <v>0</v>
      </c>
      <c r="E51" s="297"/>
      <c r="F51" s="312">
        <f t="shared" si="5"/>
        <v>0</v>
      </c>
      <c r="G51" s="341"/>
    </row>
    <row r="52" spans="1:7" ht="12.75" customHeight="1" x14ac:dyDescent="0.2">
      <c r="A52" s="298" t="s">
        <v>977</v>
      </c>
      <c r="B52" s="298" t="s">
        <v>991</v>
      </c>
      <c r="C52" s="325"/>
      <c r="D52" s="330">
        <f t="shared" si="4"/>
        <v>0</v>
      </c>
      <c r="E52" s="297"/>
      <c r="F52" s="312">
        <f t="shared" si="5"/>
        <v>0</v>
      </c>
      <c r="G52" s="341"/>
    </row>
    <row r="53" spans="1:7" ht="12.75" customHeight="1" x14ac:dyDescent="0.2">
      <c r="A53" s="298" t="s">
        <v>1019</v>
      </c>
      <c r="B53" s="298" t="s">
        <v>1020</v>
      </c>
      <c r="C53" s="325"/>
      <c r="D53" s="330">
        <f t="shared" si="4"/>
        <v>0</v>
      </c>
      <c r="E53" s="297"/>
      <c r="F53" s="312"/>
      <c r="G53" s="341"/>
    </row>
    <row r="54" spans="1:7" ht="12.75" customHeight="1" x14ac:dyDescent="0.2">
      <c r="A54" s="295" t="s">
        <v>850</v>
      </c>
      <c r="B54" s="296" t="s">
        <v>968</v>
      </c>
      <c r="C54" s="355">
        <v>9157.5</v>
      </c>
      <c r="D54" s="356">
        <f t="shared" si="4"/>
        <v>9990</v>
      </c>
      <c r="E54" s="331"/>
      <c r="F54" s="328">
        <f t="shared" ref="F54:F100" si="6">SUM(G54:G54)</f>
        <v>832.5</v>
      </c>
      <c r="G54" s="341">
        <v>832.5</v>
      </c>
    </row>
    <row r="55" spans="1:7" ht="12.75" customHeight="1" x14ac:dyDescent="0.2">
      <c r="A55" s="295" t="s">
        <v>851</v>
      </c>
      <c r="B55" s="296" t="s">
        <v>852</v>
      </c>
      <c r="C55" s="355"/>
      <c r="D55" s="356">
        <f t="shared" si="4"/>
        <v>0</v>
      </c>
      <c r="E55" s="297"/>
      <c r="F55" s="312">
        <f t="shared" si="6"/>
        <v>0</v>
      </c>
      <c r="G55" s="341"/>
    </row>
    <row r="56" spans="1:7" ht="12.75" customHeight="1" x14ac:dyDescent="0.2">
      <c r="A56" s="295" t="s">
        <v>853</v>
      </c>
      <c r="B56" s="296" t="s">
        <v>854</v>
      </c>
      <c r="C56" s="355"/>
      <c r="D56" s="356">
        <f t="shared" si="4"/>
        <v>0</v>
      </c>
      <c r="E56" s="297"/>
      <c r="F56" s="312">
        <f t="shared" si="6"/>
        <v>0</v>
      </c>
      <c r="G56" s="341"/>
    </row>
    <row r="57" spans="1:7" ht="12.75" customHeight="1" x14ac:dyDescent="0.2">
      <c r="A57" s="295" t="s">
        <v>855</v>
      </c>
      <c r="B57" s="296" t="s">
        <v>856</v>
      </c>
      <c r="C57" s="355"/>
      <c r="D57" s="356">
        <f t="shared" si="4"/>
        <v>0</v>
      </c>
      <c r="E57" s="297"/>
      <c r="F57" s="312">
        <f t="shared" si="6"/>
        <v>0</v>
      </c>
      <c r="G57" s="341"/>
    </row>
    <row r="58" spans="1:7" ht="12.75" customHeight="1" x14ac:dyDescent="0.2">
      <c r="A58" s="295" t="s">
        <v>857</v>
      </c>
      <c r="B58" s="296" t="s">
        <v>858</v>
      </c>
      <c r="C58" s="355">
        <v>16803.09</v>
      </c>
      <c r="D58" s="356">
        <f t="shared" si="4"/>
        <v>16803.09</v>
      </c>
      <c r="E58" s="297"/>
      <c r="F58" s="312">
        <f t="shared" si="6"/>
        <v>0</v>
      </c>
      <c r="G58" s="341"/>
    </row>
    <row r="59" spans="1:7" ht="12.75" customHeight="1" x14ac:dyDescent="0.2">
      <c r="A59" s="295" t="s">
        <v>702</v>
      </c>
      <c r="B59" s="296" t="s">
        <v>969</v>
      </c>
      <c r="C59" s="355">
        <v>2673.62</v>
      </c>
      <c r="D59" s="356">
        <f t="shared" si="4"/>
        <v>2673.62</v>
      </c>
      <c r="E59" s="297"/>
      <c r="F59" s="312">
        <f t="shared" si="6"/>
        <v>0</v>
      </c>
      <c r="G59" s="341"/>
    </row>
    <row r="60" spans="1:7" ht="12.75" customHeight="1" x14ac:dyDescent="0.2">
      <c r="A60" s="295" t="s">
        <v>859</v>
      </c>
      <c r="B60" s="296" t="s">
        <v>860</v>
      </c>
      <c r="C60" s="355">
        <v>931.31</v>
      </c>
      <c r="D60" s="356">
        <f t="shared" si="4"/>
        <v>931.31</v>
      </c>
      <c r="E60" s="331"/>
      <c r="F60" s="328">
        <f t="shared" si="6"/>
        <v>0</v>
      </c>
      <c r="G60" s="341"/>
    </row>
    <row r="61" spans="1:7" ht="12.75" customHeight="1" x14ac:dyDescent="0.2">
      <c r="A61" s="295" t="s">
        <v>861</v>
      </c>
      <c r="B61" s="296" t="s">
        <v>862</v>
      </c>
      <c r="C61" s="355">
        <v>1488.5</v>
      </c>
      <c r="D61" s="356">
        <f t="shared" si="4"/>
        <v>1488.5</v>
      </c>
      <c r="E61" s="297"/>
      <c r="F61" s="312">
        <f t="shared" si="6"/>
        <v>0</v>
      </c>
      <c r="G61" s="341"/>
    </row>
    <row r="62" spans="1:7" ht="12.75" customHeight="1" x14ac:dyDescent="0.2">
      <c r="A62" s="295" t="s">
        <v>863</v>
      </c>
      <c r="B62" s="296" t="s">
        <v>864</v>
      </c>
      <c r="C62" s="355"/>
      <c r="D62" s="356">
        <f t="shared" si="4"/>
        <v>0</v>
      </c>
      <c r="E62" s="297"/>
      <c r="F62" s="312">
        <f t="shared" si="6"/>
        <v>0</v>
      </c>
      <c r="G62" s="341"/>
    </row>
    <row r="63" spans="1:7" ht="12.75" customHeight="1" x14ac:dyDescent="0.2">
      <c r="A63" s="295" t="s">
        <v>865</v>
      </c>
      <c r="B63" s="296" t="s">
        <v>866</v>
      </c>
      <c r="C63" s="355"/>
      <c r="D63" s="356">
        <f t="shared" si="4"/>
        <v>0</v>
      </c>
      <c r="E63" s="297"/>
      <c r="F63" s="312">
        <f t="shared" si="6"/>
        <v>0</v>
      </c>
      <c r="G63" s="341"/>
    </row>
    <row r="64" spans="1:7" ht="12.75" customHeight="1" x14ac:dyDescent="0.2">
      <c r="A64" s="295" t="s">
        <v>867</v>
      </c>
      <c r="B64" s="296" t="s">
        <v>868</v>
      </c>
      <c r="C64" s="355"/>
      <c r="D64" s="356">
        <f t="shared" si="4"/>
        <v>0</v>
      </c>
      <c r="E64" s="297"/>
      <c r="F64" s="312">
        <f t="shared" si="6"/>
        <v>0</v>
      </c>
      <c r="G64" s="341"/>
    </row>
    <row r="65" spans="1:7" ht="12.75" customHeight="1" x14ac:dyDescent="0.2">
      <c r="A65" s="295" t="s">
        <v>869</v>
      </c>
      <c r="B65" s="296" t="s">
        <v>870</v>
      </c>
      <c r="C65" s="355"/>
      <c r="D65" s="356">
        <f t="shared" si="4"/>
        <v>0</v>
      </c>
      <c r="E65" s="297"/>
      <c r="F65" s="312">
        <f t="shared" si="6"/>
        <v>0</v>
      </c>
      <c r="G65" s="341"/>
    </row>
    <row r="66" spans="1:7" ht="12.75" customHeight="1" x14ac:dyDescent="0.2">
      <c r="A66" s="295" t="s">
        <v>871</v>
      </c>
      <c r="B66" s="296" t="s">
        <v>870</v>
      </c>
      <c r="C66" s="355"/>
      <c r="D66" s="356">
        <f t="shared" si="4"/>
        <v>0</v>
      </c>
      <c r="E66" s="297"/>
      <c r="F66" s="312">
        <f t="shared" si="6"/>
        <v>0</v>
      </c>
      <c r="G66" s="341"/>
    </row>
    <row r="67" spans="1:7" ht="12.75" customHeight="1" x14ac:dyDescent="0.2">
      <c r="A67" s="295" t="s">
        <v>872</v>
      </c>
      <c r="B67" s="296" t="s">
        <v>873</v>
      </c>
      <c r="C67" s="355"/>
      <c r="D67" s="356">
        <f t="shared" si="4"/>
        <v>0</v>
      </c>
      <c r="E67" s="297"/>
      <c r="F67" s="312">
        <f t="shared" si="6"/>
        <v>0</v>
      </c>
      <c r="G67" s="341"/>
    </row>
    <row r="68" spans="1:7" ht="12.75" customHeight="1" x14ac:dyDescent="0.2">
      <c r="A68" s="295" t="s">
        <v>874</v>
      </c>
      <c r="B68" s="296" t="s">
        <v>875</v>
      </c>
      <c r="C68" s="355"/>
      <c r="D68" s="356">
        <f t="shared" si="4"/>
        <v>0</v>
      </c>
      <c r="E68" s="297"/>
      <c r="F68" s="312">
        <f t="shared" si="6"/>
        <v>0</v>
      </c>
      <c r="G68" s="341"/>
    </row>
    <row r="69" spans="1:7" ht="12.75" customHeight="1" x14ac:dyDescent="0.2">
      <c r="A69" s="295" t="s">
        <v>924</v>
      </c>
      <c r="B69" s="296" t="s">
        <v>925</v>
      </c>
      <c r="C69" s="355">
        <v>182</v>
      </c>
      <c r="D69" s="356">
        <f t="shared" si="4"/>
        <v>184.84</v>
      </c>
      <c r="E69" s="297"/>
      <c r="F69" s="312">
        <f t="shared" si="6"/>
        <v>2.84</v>
      </c>
      <c r="G69" s="341">
        <v>2.84</v>
      </c>
    </row>
    <row r="70" spans="1:7" ht="12.75" customHeight="1" x14ac:dyDescent="0.2">
      <c r="A70" s="295" t="s">
        <v>876</v>
      </c>
      <c r="B70" s="296" t="s">
        <v>877</v>
      </c>
      <c r="C70" s="355"/>
      <c r="D70" s="356">
        <f t="shared" si="4"/>
        <v>0</v>
      </c>
      <c r="E70" s="297"/>
      <c r="F70" s="312">
        <f t="shared" si="6"/>
        <v>0</v>
      </c>
      <c r="G70" s="341"/>
    </row>
    <row r="71" spans="1:7" ht="12.75" customHeight="1" x14ac:dyDescent="0.2">
      <c r="A71" s="295" t="s">
        <v>878</v>
      </c>
      <c r="B71" s="296" t="s">
        <v>5</v>
      </c>
      <c r="C71" s="355">
        <v>222.95</v>
      </c>
      <c r="D71" s="356">
        <f t="shared" si="4"/>
        <v>227.06</v>
      </c>
      <c r="E71" s="297"/>
      <c r="F71" s="312">
        <f t="shared" si="6"/>
        <v>4.1100000000000003</v>
      </c>
      <c r="G71" s="341">
        <v>4.1100000000000003</v>
      </c>
    </row>
    <row r="72" spans="1:7" ht="12.75" customHeight="1" x14ac:dyDescent="0.2">
      <c r="A72" s="295" t="s">
        <v>879</v>
      </c>
      <c r="B72" s="296" t="s">
        <v>880</v>
      </c>
      <c r="C72" s="355"/>
      <c r="D72" s="356">
        <f t="shared" si="4"/>
        <v>0</v>
      </c>
      <c r="E72" s="297"/>
      <c r="F72" s="312">
        <f t="shared" si="6"/>
        <v>0</v>
      </c>
      <c r="G72" s="341"/>
    </row>
    <row r="73" spans="1:7" ht="12.75" customHeight="1" x14ac:dyDescent="0.2">
      <c r="A73" s="295" t="s">
        <v>961</v>
      </c>
      <c r="B73" s="296" t="s">
        <v>962</v>
      </c>
      <c r="C73" s="325"/>
      <c r="D73" s="330">
        <f t="shared" si="4"/>
        <v>0</v>
      </c>
      <c r="E73" s="297"/>
      <c r="F73" s="312">
        <f t="shared" si="6"/>
        <v>0</v>
      </c>
      <c r="G73" s="341"/>
    </row>
    <row r="74" spans="1:7" ht="12.75" customHeight="1" x14ac:dyDescent="0.2">
      <c r="A74" s="295" t="s">
        <v>973</v>
      </c>
      <c r="B74" s="296" t="s">
        <v>972</v>
      </c>
      <c r="C74" s="355">
        <v>8070</v>
      </c>
      <c r="D74" s="356">
        <f t="shared" si="4"/>
        <v>8070</v>
      </c>
      <c r="E74" s="297"/>
      <c r="F74" s="312">
        <f t="shared" si="6"/>
        <v>0</v>
      </c>
      <c r="G74" s="341"/>
    </row>
    <row r="75" spans="1:7" ht="12.75" customHeight="1" x14ac:dyDescent="0.2">
      <c r="A75" s="295" t="s">
        <v>881</v>
      </c>
      <c r="B75" s="296" t="s">
        <v>730</v>
      </c>
      <c r="C75" s="355">
        <v>105.78</v>
      </c>
      <c r="D75" s="356">
        <f t="shared" si="4"/>
        <v>105.78</v>
      </c>
      <c r="E75" s="331"/>
      <c r="F75" s="328">
        <f t="shared" si="6"/>
        <v>0</v>
      </c>
      <c r="G75" s="341"/>
    </row>
    <row r="76" spans="1:7" ht="12.75" customHeight="1" x14ac:dyDescent="0.2">
      <c r="A76" s="295" t="s">
        <v>882</v>
      </c>
      <c r="B76" s="296" t="s">
        <v>883</v>
      </c>
      <c r="C76" s="355"/>
      <c r="D76" s="356">
        <f t="shared" si="4"/>
        <v>0</v>
      </c>
      <c r="E76" s="331"/>
      <c r="F76" s="332">
        <f t="shared" si="6"/>
        <v>0</v>
      </c>
      <c r="G76" s="341"/>
    </row>
    <row r="77" spans="1:7" ht="12.75" customHeight="1" x14ac:dyDescent="0.2">
      <c r="A77" s="295" t="s">
        <v>914</v>
      </c>
      <c r="B77" s="296" t="s">
        <v>916</v>
      </c>
      <c r="C77" s="355"/>
      <c r="D77" s="356">
        <f t="shared" si="4"/>
        <v>0</v>
      </c>
      <c r="E77" s="297"/>
      <c r="F77" s="312">
        <f t="shared" si="6"/>
        <v>0</v>
      </c>
      <c r="G77" s="341"/>
    </row>
    <row r="78" spans="1:7" ht="12.75" customHeight="1" x14ac:dyDescent="0.2">
      <c r="A78" s="295" t="s">
        <v>915</v>
      </c>
      <c r="B78" s="296" t="s">
        <v>917</v>
      </c>
      <c r="C78" s="355"/>
      <c r="D78" s="356">
        <f t="shared" si="4"/>
        <v>0</v>
      </c>
      <c r="E78" s="297"/>
      <c r="F78" s="312">
        <f t="shared" si="6"/>
        <v>0</v>
      </c>
      <c r="G78" s="341"/>
    </row>
    <row r="79" spans="1:7" ht="12.75" customHeight="1" x14ac:dyDescent="0.2">
      <c r="A79" s="295" t="s">
        <v>921</v>
      </c>
      <c r="B79" s="296" t="s">
        <v>922</v>
      </c>
      <c r="C79" s="355"/>
      <c r="D79" s="356">
        <f t="shared" si="4"/>
        <v>0</v>
      </c>
      <c r="E79" s="297"/>
      <c r="F79" s="312">
        <f t="shared" si="6"/>
        <v>0</v>
      </c>
      <c r="G79" s="341"/>
    </row>
    <row r="80" spans="1:7" ht="12.75" customHeight="1" x14ac:dyDescent="0.2">
      <c r="A80" s="295" t="s">
        <v>700</v>
      </c>
      <c r="B80" s="296" t="s">
        <v>884</v>
      </c>
      <c r="C80" s="355">
        <v>42</v>
      </c>
      <c r="D80" s="356">
        <f t="shared" si="4"/>
        <v>42</v>
      </c>
      <c r="E80" s="297"/>
      <c r="F80" s="312">
        <f t="shared" si="6"/>
        <v>0</v>
      </c>
      <c r="G80" s="341"/>
    </row>
    <row r="81" spans="1:7" ht="12.75" customHeight="1" x14ac:dyDescent="0.2">
      <c r="A81" s="295" t="s">
        <v>601</v>
      </c>
      <c r="B81" s="296" t="s">
        <v>885</v>
      </c>
      <c r="C81" s="355"/>
      <c r="D81" s="356">
        <f t="shared" si="4"/>
        <v>0</v>
      </c>
      <c r="E81" s="297"/>
      <c r="F81" s="312">
        <f t="shared" si="6"/>
        <v>0</v>
      </c>
      <c r="G81" s="341"/>
    </row>
    <row r="82" spans="1:7" ht="12.75" customHeight="1" x14ac:dyDescent="0.2">
      <c r="A82" s="295" t="s">
        <v>886</v>
      </c>
      <c r="B82" s="296" t="s">
        <v>887</v>
      </c>
      <c r="C82" s="355"/>
      <c r="D82" s="356">
        <f t="shared" si="4"/>
        <v>0</v>
      </c>
      <c r="E82" s="297"/>
      <c r="F82" s="312">
        <f t="shared" si="6"/>
        <v>0</v>
      </c>
      <c r="G82" s="341"/>
    </row>
    <row r="83" spans="1:7" ht="12.75" customHeight="1" x14ac:dyDescent="0.2">
      <c r="A83" s="295" t="s">
        <v>282</v>
      </c>
      <c r="B83" s="296" t="s">
        <v>888</v>
      </c>
      <c r="C83" s="355"/>
      <c r="D83" s="356">
        <f t="shared" si="4"/>
        <v>0</v>
      </c>
      <c r="E83" s="297"/>
      <c r="F83" s="312">
        <f t="shared" si="6"/>
        <v>0</v>
      </c>
      <c r="G83" s="341"/>
    </row>
    <row r="84" spans="1:7" ht="12.75" customHeight="1" x14ac:dyDescent="0.2">
      <c r="A84" s="295" t="s">
        <v>889</v>
      </c>
      <c r="B84" s="296" t="s">
        <v>890</v>
      </c>
      <c r="C84" s="355">
        <v>325</v>
      </c>
      <c r="D84" s="356">
        <f t="shared" si="4"/>
        <v>325</v>
      </c>
      <c r="E84" s="331"/>
      <c r="F84" s="328">
        <f t="shared" si="6"/>
        <v>0</v>
      </c>
      <c r="G84" s="341"/>
    </row>
    <row r="85" spans="1:7" ht="12.75" customHeight="1" x14ac:dyDescent="0.2">
      <c r="A85" s="291" t="s">
        <v>891</v>
      </c>
      <c r="B85" s="296" t="s">
        <v>892</v>
      </c>
      <c r="C85" s="355">
        <v>34.89</v>
      </c>
      <c r="D85" s="356">
        <f t="shared" si="4"/>
        <v>34.89</v>
      </c>
      <c r="E85" s="297"/>
      <c r="F85" s="312">
        <f t="shared" si="6"/>
        <v>0</v>
      </c>
      <c r="G85" s="341"/>
    </row>
    <row r="86" spans="1:7" ht="12.75" customHeight="1" x14ac:dyDescent="0.2">
      <c r="A86" s="295" t="s">
        <v>704</v>
      </c>
      <c r="B86" s="296" t="s">
        <v>893</v>
      </c>
      <c r="C86" s="355"/>
      <c r="D86" s="356">
        <f t="shared" si="4"/>
        <v>0</v>
      </c>
      <c r="E86" s="297"/>
      <c r="F86" s="312">
        <f t="shared" si="6"/>
        <v>0</v>
      </c>
      <c r="G86" s="341"/>
    </row>
    <row r="87" spans="1:7" ht="12.75" customHeight="1" x14ac:dyDescent="0.2">
      <c r="A87" s="295" t="s">
        <v>894</v>
      </c>
      <c r="B87" s="296" t="s">
        <v>3</v>
      </c>
      <c r="C87" s="355"/>
      <c r="D87" s="356">
        <f t="shared" si="4"/>
        <v>0</v>
      </c>
      <c r="E87" s="297"/>
      <c r="F87" s="312">
        <f t="shared" si="6"/>
        <v>0</v>
      </c>
      <c r="G87" s="341"/>
    </row>
    <row r="88" spans="1:7" ht="12.75" customHeight="1" x14ac:dyDescent="0.2">
      <c r="A88" s="295" t="s">
        <v>895</v>
      </c>
      <c r="B88" s="296" t="s">
        <v>896</v>
      </c>
      <c r="C88" s="355"/>
      <c r="D88" s="356">
        <f t="shared" si="4"/>
        <v>0</v>
      </c>
      <c r="E88" s="297"/>
      <c r="F88" s="312">
        <f t="shared" si="6"/>
        <v>0</v>
      </c>
      <c r="G88" s="341"/>
    </row>
    <row r="89" spans="1:7" ht="12.75" customHeight="1" x14ac:dyDescent="0.2">
      <c r="A89" s="295" t="s">
        <v>897</v>
      </c>
      <c r="B89" s="296" t="s">
        <v>92</v>
      </c>
      <c r="C89" s="355"/>
      <c r="D89" s="356">
        <f t="shared" si="4"/>
        <v>0</v>
      </c>
      <c r="E89" s="297"/>
      <c r="F89" s="312">
        <f t="shared" si="6"/>
        <v>0</v>
      </c>
      <c r="G89" s="341"/>
    </row>
    <row r="90" spans="1:7" ht="12.75" customHeight="1" x14ac:dyDescent="0.2">
      <c r="A90" s="295" t="s">
        <v>291</v>
      </c>
      <c r="B90" s="296" t="s">
        <v>14</v>
      </c>
      <c r="C90" s="355">
        <v>983.38</v>
      </c>
      <c r="D90" s="356">
        <f t="shared" si="4"/>
        <v>1178.24</v>
      </c>
      <c r="E90" s="331"/>
      <c r="F90" s="328">
        <f t="shared" si="6"/>
        <v>194.86</v>
      </c>
      <c r="G90" s="341">
        <v>194.86</v>
      </c>
    </row>
    <row r="91" spans="1:7" ht="12.75" customHeight="1" x14ac:dyDescent="0.2">
      <c r="A91" s="295" t="s">
        <v>898</v>
      </c>
      <c r="B91" s="296" t="s">
        <v>970</v>
      </c>
      <c r="C91" s="355">
        <v>5484</v>
      </c>
      <c r="D91" s="356">
        <f t="shared" si="4"/>
        <v>5484</v>
      </c>
      <c r="E91" s="297"/>
      <c r="F91" s="312">
        <f t="shared" si="6"/>
        <v>0</v>
      </c>
      <c r="G91" s="341"/>
    </row>
    <row r="92" spans="1:7" ht="12.75" customHeight="1" x14ac:dyDescent="0.2">
      <c r="A92" s="295" t="s">
        <v>372</v>
      </c>
      <c r="B92" s="296" t="s">
        <v>164</v>
      </c>
      <c r="C92" s="355"/>
      <c r="D92" s="356">
        <f t="shared" si="4"/>
        <v>0</v>
      </c>
      <c r="E92" s="297"/>
      <c r="F92" s="312">
        <f t="shared" si="6"/>
        <v>0</v>
      </c>
      <c r="G92" s="341"/>
    </row>
    <row r="93" spans="1:7" ht="12.75" customHeight="1" x14ac:dyDescent="0.2">
      <c r="A93" s="295" t="s">
        <v>899</v>
      </c>
      <c r="B93" s="296" t="s">
        <v>15</v>
      </c>
      <c r="C93" s="355">
        <v>1185.6600000000001</v>
      </c>
      <c r="D93" s="356">
        <f t="shared" si="4"/>
        <v>1185.6600000000001</v>
      </c>
      <c r="E93" s="331"/>
      <c r="F93" s="328">
        <f t="shared" si="6"/>
        <v>0</v>
      </c>
      <c r="G93" s="341"/>
    </row>
    <row r="94" spans="1:7" ht="12.75" customHeight="1" x14ac:dyDescent="0.2">
      <c r="A94" s="295" t="s">
        <v>900</v>
      </c>
      <c r="B94" s="296" t="s">
        <v>983</v>
      </c>
      <c r="C94" s="355"/>
      <c r="D94" s="356">
        <f t="shared" si="4"/>
        <v>0</v>
      </c>
      <c r="E94" s="331"/>
      <c r="F94" s="328">
        <f t="shared" si="6"/>
        <v>0</v>
      </c>
      <c r="G94" s="341"/>
    </row>
    <row r="95" spans="1:7" ht="12.75" customHeight="1" x14ac:dyDescent="0.2">
      <c r="A95" s="298" t="s">
        <v>978</v>
      </c>
      <c r="B95" s="291" t="s">
        <v>992</v>
      </c>
      <c r="C95" s="355"/>
      <c r="D95" s="356">
        <f t="shared" si="4"/>
        <v>0</v>
      </c>
      <c r="E95" s="309"/>
      <c r="F95" s="312">
        <f t="shared" si="6"/>
        <v>0</v>
      </c>
      <c r="G95" s="341"/>
    </row>
    <row r="96" spans="1:7" ht="12.75" customHeight="1" x14ac:dyDescent="0.2">
      <c r="A96" s="298" t="s">
        <v>979</v>
      </c>
      <c r="B96" s="291" t="s">
        <v>993</v>
      </c>
      <c r="C96" s="355"/>
      <c r="D96" s="356">
        <f t="shared" ref="D96:D111" si="7">+C96+F96</f>
        <v>0</v>
      </c>
      <c r="E96" s="331"/>
      <c r="F96" s="328">
        <f t="shared" si="6"/>
        <v>0</v>
      </c>
      <c r="G96" s="341"/>
    </row>
    <row r="97" spans="1:7" ht="12.75" customHeight="1" x14ac:dyDescent="0.2">
      <c r="A97" s="298" t="s">
        <v>980</v>
      </c>
      <c r="B97" s="291" t="s">
        <v>994</v>
      </c>
      <c r="C97" s="355"/>
      <c r="D97" s="356">
        <f t="shared" si="7"/>
        <v>0</v>
      </c>
      <c r="E97" s="297"/>
      <c r="F97" s="312">
        <f t="shared" si="6"/>
        <v>0</v>
      </c>
      <c r="G97" s="341"/>
    </row>
    <row r="98" spans="1:7" ht="12.75" customHeight="1" x14ac:dyDescent="0.2">
      <c r="A98" s="298" t="s">
        <v>981</v>
      </c>
      <c r="B98" s="291" t="s">
        <v>995</v>
      </c>
      <c r="C98" s="355"/>
      <c r="D98" s="356">
        <f t="shared" si="7"/>
        <v>0</v>
      </c>
      <c r="E98" s="297"/>
      <c r="F98" s="312">
        <f t="shared" si="6"/>
        <v>0</v>
      </c>
      <c r="G98" s="341"/>
    </row>
    <row r="99" spans="1:7" ht="12.75" customHeight="1" x14ac:dyDescent="0.2">
      <c r="A99" s="298" t="s">
        <v>984</v>
      </c>
      <c r="B99" s="291" t="s">
        <v>996</v>
      </c>
      <c r="C99" s="355"/>
      <c r="D99" s="356">
        <f t="shared" si="7"/>
        <v>0</v>
      </c>
      <c r="E99" s="297"/>
      <c r="F99" s="312">
        <f t="shared" si="6"/>
        <v>0</v>
      </c>
      <c r="G99" s="341"/>
    </row>
    <row r="100" spans="1:7" ht="12.75" customHeight="1" x14ac:dyDescent="0.2">
      <c r="A100" s="298" t="s">
        <v>982</v>
      </c>
      <c r="B100" s="291" t="s">
        <v>997</v>
      </c>
      <c r="C100" s="355"/>
      <c r="D100" s="356">
        <f t="shared" si="7"/>
        <v>0</v>
      </c>
      <c r="E100" s="297"/>
      <c r="F100" s="312">
        <f t="shared" si="6"/>
        <v>0</v>
      </c>
      <c r="G100" s="341"/>
    </row>
    <row r="101" spans="1:7" ht="12.75" customHeight="1" x14ac:dyDescent="0.2">
      <c r="A101" s="298" t="s">
        <v>1022</v>
      </c>
      <c r="B101" s="291" t="s">
        <v>1023</v>
      </c>
      <c r="C101" s="355"/>
      <c r="D101" s="356">
        <f t="shared" si="7"/>
        <v>0</v>
      </c>
      <c r="E101" s="297"/>
      <c r="F101" s="312"/>
      <c r="G101" s="341"/>
    </row>
    <row r="102" spans="1:7" ht="12.75" customHeight="1" x14ac:dyDescent="0.2">
      <c r="A102" s="298" t="s">
        <v>1021</v>
      </c>
      <c r="B102" s="291" t="s">
        <v>1020</v>
      </c>
      <c r="C102" s="355"/>
      <c r="D102" s="356">
        <f t="shared" si="7"/>
        <v>0</v>
      </c>
      <c r="E102" s="297"/>
      <c r="F102" s="312"/>
      <c r="G102" s="341"/>
    </row>
    <row r="103" spans="1:7" ht="12.75" customHeight="1" x14ac:dyDescent="0.2">
      <c r="A103" s="295" t="s">
        <v>901</v>
      </c>
      <c r="B103" s="296" t="s">
        <v>902</v>
      </c>
      <c r="C103" s="355">
        <v>950.86</v>
      </c>
      <c r="D103" s="356">
        <f t="shared" si="7"/>
        <v>950.86</v>
      </c>
      <c r="E103" s="297"/>
      <c r="F103" s="312">
        <f t="shared" ref="F103:F111" si="8">SUM(G103:G103)</f>
        <v>0</v>
      </c>
      <c r="G103" s="341"/>
    </row>
    <row r="104" spans="1:7" ht="12.75" customHeight="1" x14ac:dyDescent="0.2">
      <c r="A104" s="295" t="s">
        <v>903</v>
      </c>
      <c r="B104" s="296" t="s">
        <v>739</v>
      </c>
      <c r="C104" s="355"/>
      <c r="D104" s="356">
        <f t="shared" si="7"/>
        <v>0</v>
      </c>
      <c r="E104" s="331"/>
      <c r="F104" s="328">
        <f t="shared" si="8"/>
        <v>0</v>
      </c>
      <c r="G104" s="341"/>
    </row>
    <row r="105" spans="1:7" ht="12.75" customHeight="1" x14ac:dyDescent="0.2">
      <c r="A105" s="300" t="s">
        <v>918</v>
      </c>
      <c r="B105" s="301" t="s">
        <v>971</v>
      </c>
      <c r="C105" s="355"/>
      <c r="D105" s="356">
        <f t="shared" si="7"/>
        <v>0</v>
      </c>
      <c r="E105" s="302"/>
      <c r="F105" s="312">
        <f t="shared" si="8"/>
        <v>0</v>
      </c>
      <c r="G105" s="341"/>
    </row>
    <row r="106" spans="1:7" ht="12.75" customHeight="1" x14ac:dyDescent="0.2">
      <c r="A106" s="300" t="s">
        <v>904</v>
      </c>
      <c r="B106" s="301" t="s">
        <v>905</v>
      </c>
      <c r="C106" s="355">
        <v>3374.99</v>
      </c>
      <c r="D106" s="356">
        <f t="shared" si="7"/>
        <v>3374.99</v>
      </c>
      <c r="E106" s="297"/>
      <c r="F106" s="312">
        <f t="shared" si="8"/>
        <v>0</v>
      </c>
      <c r="G106" s="341"/>
    </row>
    <row r="107" spans="1:7" ht="12.75" customHeight="1" x14ac:dyDescent="0.2">
      <c r="A107" s="300" t="s">
        <v>906</v>
      </c>
      <c r="B107" s="301" t="s">
        <v>907</v>
      </c>
      <c r="C107" s="355">
        <v>8297.5</v>
      </c>
      <c r="D107" s="356">
        <f t="shared" si="7"/>
        <v>8297.5</v>
      </c>
      <c r="E107" s="297"/>
      <c r="F107" s="312">
        <f t="shared" si="8"/>
        <v>0</v>
      </c>
      <c r="G107" s="341"/>
    </row>
    <row r="108" spans="1:7" ht="12.75" customHeight="1" x14ac:dyDescent="0.2">
      <c r="A108" s="300" t="s">
        <v>908</v>
      </c>
      <c r="B108" s="301" t="s">
        <v>909</v>
      </c>
      <c r="C108" s="355">
        <v>507.32</v>
      </c>
      <c r="D108" s="356">
        <f t="shared" si="7"/>
        <v>529.96</v>
      </c>
      <c r="E108" s="331"/>
      <c r="F108" s="328">
        <f t="shared" si="8"/>
        <v>22.64</v>
      </c>
      <c r="G108" s="341">
        <v>22.64</v>
      </c>
    </row>
    <row r="109" spans="1:7" ht="12.75" customHeight="1" x14ac:dyDescent="0.2">
      <c r="A109" s="300" t="s">
        <v>910</v>
      </c>
      <c r="B109" s="301" t="s">
        <v>911</v>
      </c>
      <c r="C109" s="355">
        <v>72.91</v>
      </c>
      <c r="D109" s="356">
        <f t="shared" si="7"/>
        <v>72.91</v>
      </c>
      <c r="E109" s="331"/>
      <c r="F109" s="332">
        <f t="shared" si="8"/>
        <v>0</v>
      </c>
      <c r="G109" s="341"/>
    </row>
    <row r="110" spans="1:7" ht="12.75" customHeight="1" x14ac:dyDescent="0.2">
      <c r="A110" s="300" t="s">
        <v>912</v>
      </c>
      <c r="B110" s="301" t="s">
        <v>821</v>
      </c>
      <c r="C110" s="355">
        <v>31.24</v>
      </c>
      <c r="D110" s="356">
        <f t="shared" si="7"/>
        <v>31.24</v>
      </c>
      <c r="E110" s="302"/>
      <c r="F110" s="312">
        <f t="shared" si="8"/>
        <v>0</v>
      </c>
      <c r="G110" s="341"/>
    </row>
    <row r="111" spans="1:7" ht="12.75" customHeight="1" thickBot="1" x14ac:dyDescent="0.25">
      <c r="A111" s="303" t="s">
        <v>919</v>
      </c>
      <c r="B111" s="304" t="s">
        <v>920</v>
      </c>
      <c r="C111" s="357"/>
      <c r="D111" s="358">
        <f t="shared" si="7"/>
        <v>0</v>
      </c>
      <c r="E111" s="305"/>
      <c r="F111" s="313">
        <f t="shared" si="8"/>
        <v>0</v>
      </c>
      <c r="G111" s="345"/>
    </row>
    <row r="112" spans="1:7" ht="11.1" customHeight="1" x14ac:dyDescent="0.2">
      <c r="C112" s="326"/>
      <c r="D112" s="326"/>
      <c r="E112" s="309"/>
      <c r="F112" s="310"/>
    </row>
    <row r="113" spans="3:7" ht="11.1" customHeight="1" x14ac:dyDescent="0.2">
      <c r="C113" s="326"/>
      <c r="D113" s="326">
        <f>SUM(D32:D111)</f>
        <v>47802.49</v>
      </c>
      <c r="E113" s="309"/>
      <c r="F113" s="311"/>
      <c r="G113" s="327">
        <f t="shared" ref="G113" si="9">SUM(G4:G111)</f>
        <v>0</v>
      </c>
    </row>
    <row r="114" spans="3:7" ht="11.1" customHeight="1" x14ac:dyDescent="0.2">
      <c r="C114" s="326"/>
      <c r="D114" s="326"/>
      <c r="E114" s="309"/>
      <c r="F114" s="311"/>
    </row>
    <row r="115" spans="3:7" ht="11.1" customHeight="1" x14ac:dyDescent="0.2">
      <c r="C115" s="326"/>
      <c r="D115" s="326">
        <f>ROUND(SUM(D4:D111),2)</f>
        <v>0</v>
      </c>
      <c r="E115" s="309"/>
      <c r="F115" s="311"/>
    </row>
    <row r="116" spans="3:7" ht="11.1" customHeight="1" x14ac:dyDescent="0.2">
      <c r="C116" s="326"/>
      <c r="D116" s="326"/>
    </row>
  </sheetData>
  <sheetProtection formatCells="0" formatColumns="0" formatRows="0" insertColumns="0" insertRows="0" insertHyperlinks="0" deleteColumns="0" deleteRows="0" sort="0" autoFilter="0" pivotTables="0"/>
  <mergeCells count="1">
    <mergeCell ref="F2:G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6"/>
  <sheetViews>
    <sheetView zoomScale="115" zoomScaleNormal="115" zoomScaleSheetLayoutView="70" workbookViewId="0">
      <pane ySplit="3" topLeftCell="A4" activePane="bottomLeft" state="frozen"/>
      <selection pane="bottomLeft" activeCell="C15" sqref="C15"/>
    </sheetView>
  </sheetViews>
  <sheetFormatPr defaultRowHeight="11.1" customHeight="1" x14ac:dyDescent="0.2"/>
  <cols>
    <col min="1" max="1" width="14.5703125" style="291" bestFit="1" customWidth="1"/>
    <col min="2" max="2" width="39.5703125" style="291" bestFit="1" customWidth="1"/>
    <col min="3" max="4" width="18.5703125" style="327" customWidth="1"/>
    <col min="5" max="5" width="7.140625" style="299" bestFit="1" customWidth="1"/>
    <col min="6" max="6" width="16.28515625" style="291" bestFit="1" customWidth="1"/>
    <col min="7" max="7" width="15.42578125" style="327" bestFit="1" customWidth="1"/>
    <col min="8" max="8" width="15.28515625" style="327" customWidth="1"/>
    <col min="9" max="10" width="14.28515625" style="327" bestFit="1" customWidth="1"/>
    <col min="11" max="13" width="13" style="327" customWidth="1"/>
    <col min="14" max="14" width="13" style="350" customWidth="1"/>
    <col min="15" max="15" width="13" style="351" customWidth="1"/>
    <col min="16" max="18" width="13" style="327" customWidth="1"/>
    <col min="19" max="16384" width="9.140625" style="291"/>
  </cols>
  <sheetData>
    <row r="1" spans="1:18" s="288" customFormat="1" ht="18.75" thickBot="1" x14ac:dyDescent="0.25">
      <c r="A1" s="285" t="s">
        <v>1012</v>
      </c>
      <c r="B1" s="286"/>
      <c r="C1" s="319"/>
      <c r="D1" s="319"/>
      <c r="E1" s="286"/>
      <c r="F1" s="287"/>
      <c r="G1" s="333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1:18" ht="11.1" customHeight="1" thickBot="1" x14ac:dyDescent="0.25">
      <c r="A2" s="289" t="s">
        <v>785</v>
      </c>
      <c r="B2" s="289" t="s">
        <v>786</v>
      </c>
      <c r="C2" s="320" t="s">
        <v>974</v>
      </c>
      <c r="D2" s="320" t="s">
        <v>923</v>
      </c>
      <c r="E2" s="290"/>
      <c r="F2" s="440" t="s">
        <v>940</v>
      </c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1"/>
    </row>
    <row r="3" spans="1:18" ht="11.1" customHeight="1" thickBot="1" x14ac:dyDescent="0.25">
      <c r="A3" s="292"/>
      <c r="B3" s="292"/>
      <c r="C3" s="321">
        <f>SUM(C4:C111)</f>
        <v>-47446.679999999869</v>
      </c>
      <c r="D3" s="321">
        <f>SUM(D4:D111)</f>
        <v>-2.7437607741376269E-11</v>
      </c>
      <c r="E3" s="293"/>
      <c r="F3" s="294">
        <f>SUM(F4:F111)</f>
        <v>47446.679999999862</v>
      </c>
      <c r="G3" s="335" t="s">
        <v>944</v>
      </c>
      <c r="H3" s="336" t="s">
        <v>945</v>
      </c>
      <c r="I3" s="336" t="s">
        <v>946</v>
      </c>
      <c r="J3" s="336" t="s">
        <v>947</v>
      </c>
      <c r="K3" s="336" t="s">
        <v>948</v>
      </c>
      <c r="L3" s="336" t="s">
        <v>949</v>
      </c>
      <c r="M3" s="336" t="s">
        <v>950</v>
      </c>
      <c r="N3" s="336" t="s">
        <v>951</v>
      </c>
      <c r="O3" s="336" t="s">
        <v>952</v>
      </c>
      <c r="P3" s="336" t="s">
        <v>953</v>
      </c>
      <c r="Q3" s="336" t="s">
        <v>954</v>
      </c>
      <c r="R3" s="337" t="s">
        <v>955</v>
      </c>
    </row>
    <row r="4" spans="1:18" ht="12.75" customHeight="1" x14ac:dyDescent="0.2">
      <c r="A4" s="295">
        <v>9999</v>
      </c>
      <c r="B4" s="296" t="s">
        <v>965</v>
      </c>
      <c r="C4" s="322"/>
      <c r="D4" s="328">
        <f t="shared" ref="D4:D29" si="0">+C4+F4</f>
        <v>0</v>
      </c>
      <c r="E4" s="297"/>
      <c r="F4" s="312">
        <f>SUM(G4:R4)</f>
        <v>0</v>
      </c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</row>
    <row r="5" spans="1:18" ht="12.75" customHeight="1" x14ac:dyDescent="0.2">
      <c r="A5" s="295" t="s">
        <v>787</v>
      </c>
      <c r="B5" s="296" t="s">
        <v>154</v>
      </c>
      <c r="C5" s="322">
        <v>861810</v>
      </c>
      <c r="D5" s="328">
        <f t="shared" si="0"/>
        <v>861810</v>
      </c>
      <c r="E5" s="297" t="s">
        <v>938</v>
      </c>
      <c r="F5" s="312">
        <f t="shared" ref="F5:F29" si="1">SUM(G5:R5)</f>
        <v>0</v>
      </c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1"/>
    </row>
    <row r="6" spans="1:18" ht="12.75" customHeight="1" x14ac:dyDescent="0.2">
      <c r="A6" s="295" t="s">
        <v>788</v>
      </c>
      <c r="B6" s="296" t="s">
        <v>781</v>
      </c>
      <c r="C6" s="322"/>
      <c r="D6" s="328">
        <f t="shared" si="0"/>
        <v>0</v>
      </c>
      <c r="E6" s="297" t="s">
        <v>931</v>
      </c>
      <c r="F6" s="312">
        <f t="shared" si="1"/>
        <v>0</v>
      </c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1"/>
    </row>
    <row r="7" spans="1:18" ht="12.75" customHeight="1" x14ac:dyDescent="0.2">
      <c r="A7" s="295" t="s">
        <v>789</v>
      </c>
      <c r="B7" s="296" t="s">
        <v>790</v>
      </c>
      <c r="C7" s="322">
        <v>127.49</v>
      </c>
      <c r="D7" s="328">
        <f t="shared" si="0"/>
        <v>127.49</v>
      </c>
      <c r="E7" s="297" t="s">
        <v>934</v>
      </c>
      <c r="F7" s="312">
        <f t="shared" si="1"/>
        <v>0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1"/>
    </row>
    <row r="8" spans="1:18" ht="12.75" customHeight="1" x14ac:dyDescent="0.2">
      <c r="A8" s="295" t="s">
        <v>791</v>
      </c>
      <c r="B8" s="296" t="s">
        <v>792</v>
      </c>
      <c r="C8" s="322">
        <v>40</v>
      </c>
      <c r="D8" s="328">
        <f t="shared" si="0"/>
        <v>40</v>
      </c>
      <c r="E8" s="297" t="s">
        <v>934</v>
      </c>
      <c r="F8" s="312">
        <f t="shared" si="1"/>
        <v>0</v>
      </c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1"/>
    </row>
    <row r="9" spans="1:18" ht="12.75" customHeight="1" x14ac:dyDescent="0.2">
      <c r="A9" s="295" t="s">
        <v>793</v>
      </c>
      <c r="B9" s="296" t="s">
        <v>794</v>
      </c>
      <c r="C9" s="322"/>
      <c r="D9" s="328">
        <f t="shared" si="0"/>
        <v>0</v>
      </c>
      <c r="E9" s="297" t="s">
        <v>934</v>
      </c>
      <c r="F9" s="312">
        <f t="shared" si="1"/>
        <v>0</v>
      </c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1"/>
    </row>
    <row r="10" spans="1:18" ht="12.75" customHeight="1" x14ac:dyDescent="0.2">
      <c r="A10" s="295" t="s">
        <v>795</v>
      </c>
      <c r="B10" s="296" t="s">
        <v>796</v>
      </c>
      <c r="C10" s="322"/>
      <c r="D10" s="328">
        <f t="shared" si="0"/>
        <v>0</v>
      </c>
      <c r="E10" s="297" t="s">
        <v>934</v>
      </c>
      <c r="F10" s="312">
        <f t="shared" si="1"/>
        <v>0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18" ht="12.75" customHeight="1" x14ac:dyDescent="0.2">
      <c r="A11" s="295" t="s">
        <v>1017</v>
      </c>
      <c r="B11" s="296" t="s">
        <v>1018</v>
      </c>
      <c r="C11" s="322"/>
      <c r="D11" s="328"/>
      <c r="E11" s="297"/>
      <c r="F11" s="312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12.75" customHeight="1" x14ac:dyDescent="0.2">
      <c r="A12" s="295" t="s">
        <v>797</v>
      </c>
      <c r="B12" s="296" t="s">
        <v>798</v>
      </c>
      <c r="C12" s="322">
        <v>-16200.99</v>
      </c>
      <c r="D12" s="328">
        <f t="shared" si="0"/>
        <v>-16200.99</v>
      </c>
      <c r="E12" s="297" t="s">
        <v>933</v>
      </c>
      <c r="F12" s="312">
        <f t="shared" si="1"/>
        <v>0</v>
      </c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1"/>
    </row>
    <row r="13" spans="1:18" ht="12.75" customHeight="1" x14ac:dyDescent="0.2">
      <c r="A13" s="295" t="s">
        <v>799</v>
      </c>
      <c r="B13" s="296" t="s">
        <v>780</v>
      </c>
      <c r="C13" s="322"/>
      <c r="D13" s="328">
        <f t="shared" si="0"/>
        <v>0</v>
      </c>
      <c r="E13" s="297" t="s">
        <v>936</v>
      </c>
      <c r="F13" s="312">
        <f t="shared" si="1"/>
        <v>0</v>
      </c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1"/>
    </row>
    <row r="14" spans="1:18" ht="12.75" customHeight="1" x14ac:dyDescent="0.2">
      <c r="A14" s="295" t="s">
        <v>1014</v>
      </c>
      <c r="B14" s="296" t="s">
        <v>1015</v>
      </c>
      <c r="C14" s="326">
        <v>-40</v>
      </c>
      <c r="D14" s="352">
        <f t="shared" si="0"/>
        <v>-40</v>
      </c>
      <c r="E14" s="297" t="s">
        <v>936</v>
      </c>
      <c r="F14" s="312">
        <f t="shared" si="1"/>
        <v>0</v>
      </c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1"/>
    </row>
    <row r="15" spans="1:18" ht="12.75" customHeight="1" x14ac:dyDescent="0.2">
      <c r="A15" s="295" t="s">
        <v>816</v>
      </c>
      <c r="B15" s="296" t="s">
        <v>817</v>
      </c>
      <c r="C15" s="322">
        <v>14805.79</v>
      </c>
      <c r="D15" s="328">
        <f t="shared" si="0"/>
        <v>14805.79</v>
      </c>
      <c r="E15" s="297" t="s">
        <v>932</v>
      </c>
      <c r="F15" s="312">
        <f t="shared" si="1"/>
        <v>0</v>
      </c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1"/>
    </row>
    <row r="16" spans="1:18" ht="12.75" customHeight="1" x14ac:dyDescent="0.2">
      <c r="A16" s="295" t="s">
        <v>783</v>
      </c>
      <c r="B16" s="296" t="s">
        <v>170</v>
      </c>
      <c r="C16" s="322">
        <v>-34054.660000000003</v>
      </c>
      <c r="D16" s="328">
        <f t="shared" si="0"/>
        <v>-34054.660000000003</v>
      </c>
      <c r="E16" s="297" t="s">
        <v>935</v>
      </c>
      <c r="F16" s="312">
        <f t="shared" si="1"/>
        <v>0</v>
      </c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1"/>
    </row>
    <row r="17" spans="1:18" ht="12.75" customHeight="1" x14ac:dyDescent="0.2">
      <c r="A17" s="295" t="s">
        <v>694</v>
      </c>
      <c r="B17" s="296" t="s">
        <v>800</v>
      </c>
      <c r="C17" s="322"/>
      <c r="D17" s="328">
        <f t="shared" si="0"/>
        <v>0</v>
      </c>
      <c r="E17" s="297"/>
      <c r="F17" s="312">
        <f t="shared" si="1"/>
        <v>0</v>
      </c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2"/>
      <c r="R17" s="341"/>
    </row>
    <row r="18" spans="1:18" ht="12.75" customHeight="1" x14ac:dyDescent="0.2">
      <c r="A18" s="295" t="s">
        <v>801</v>
      </c>
      <c r="B18" s="296" t="s">
        <v>802</v>
      </c>
      <c r="C18" s="322"/>
      <c r="D18" s="328">
        <f t="shared" si="0"/>
        <v>0</v>
      </c>
      <c r="E18" s="297" t="s">
        <v>936</v>
      </c>
      <c r="F18" s="312">
        <f t="shared" si="1"/>
        <v>0</v>
      </c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2"/>
      <c r="R18" s="341"/>
    </row>
    <row r="19" spans="1:18" ht="12.75" customHeight="1" x14ac:dyDescent="0.2">
      <c r="A19" s="295" t="s">
        <v>926</v>
      </c>
      <c r="B19" s="296" t="s">
        <v>927</v>
      </c>
      <c r="C19" s="322"/>
      <c r="D19" s="328">
        <f t="shared" si="0"/>
        <v>0</v>
      </c>
      <c r="E19" s="297" t="s">
        <v>936</v>
      </c>
      <c r="F19" s="312">
        <f t="shared" si="1"/>
        <v>0</v>
      </c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2"/>
      <c r="R19" s="341"/>
    </row>
    <row r="20" spans="1:18" ht="12.75" customHeight="1" x14ac:dyDescent="0.2">
      <c r="A20" s="295" t="s">
        <v>814</v>
      </c>
      <c r="B20" s="296" t="s">
        <v>815</v>
      </c>
      <c r="C20" s="322"/>
      <c r="D20" s="328">
        <f t="shared" si="0"/>
        <v>0</v>
      </c>
      <c r="E20" s="297" t="s">
        <v>936</v>
      </c>
      <c r="F20" s="312">
        <f t="shared" si="1"/>
        <v>0</v>
      </c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2"/>
      <c r="R20" s="341"/>
    </row>
    <row r="21" spans="1:18" ht="12.75" customHeight="1" x14ac:dyDescent="0.2">
      <c r="A21" s="295" t="s">
        <v>664</v>
      </c>
      <c r="B21" s="296" t="s">
        <v>1005</v>
      </c>
      <c r="C21" s="322">
        <v>-316.24</v>
      </c>
      <c r="D21" s="328">
        <f t="shared" si="0"/>
        <v>-316.24</v>
      </c>
      <c r="E21" s="297" t="s">
        <v>139</v>
      </c>
      <c r="F21" s="312">
        <f t="shared" si="1"/>
        <v>0</v>
      </c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2"/>
      <c r="R21" s="341"/>
    </row>
    <row r="22" spans="1:18" ht="12.75" customHeight="1" x14ac:dyDescent="0.2">
      <c r="A22" s="295" t="s">
        <v>1007</v>
      </c>
      <c r="B22" s="296" t="s">
        <v>1006</v>
      </c>
      <c r="C22" s="322"/>
      <c r="D22" s="328">
        <f t="shared" si="0"/>
        <v>0</v>
      </c>
      <c r="E22" s="297"/>
      <c r="F22" s="312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2"/>
      <c r="R22" s="341"/>
    </row>
    <row r="23" spans="1:18" ht="12.75" customHeight="1" x14ac:dyDescent="0.2">
      <c r="A23" s="295" t="s">
        <v>803</v>
      </c>
      <c r="B23" s="296" t="s">
        <v>804</v>
      </c>
      <c r="C23" s="322"/>
      <c r="D23" s="328">
        <f t="shared" si="0"/>
        <v>0</v>
      </c>
      <c r="E23" s="297" t="s">
        <v>937</v>
      </c>
      <c r="F23" s="312">
        <f t="shared" si="1"/>
        <v>0</v>
      </c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2"/>
      <c r="R23" s="341"/>
    </row>
    <row r="24" spans="1:18" ht="12.75" customHeight="1" x14ac:dyDescent="0.2">
      <c r="A24" s="295" t="s">
        <v>805</v>
      </c>
      <c r="B24" s="296" t="s">
        <v>806</v>
      </c>
      <c r="C24" s="322">
        <v>3847.31</v>
      </c>
      <c r="D24" s="328">
        <f t="shared" si="0"/>
        <v>0</v>
      </c>
      <c r="E24" s="331" t="s">
        <v>937</v>
      </c>
      <c r="F24" s="328">
        <f>SUM(G24:R24)</f>
        <v>-3847.3100000000004</v>
      </c>
      <c r="G24" s="340">
        <v>-256.64</v>
      </c>
      <c r="H24" s="340">
        <v>-973.07</v>
      </c>
      <c r="I24" s="340">
        <v>-1413.88</v>
      </c>
      <c r="J24" s="340">
        <v>-1203.72</v>
      </c>
      <c r="K24" s="340"/>
      <c r="L24" s="340"/>
      <c r="M24" s="340"/>
      <c r="N24" s="340"/>
      <c r="O24" s="340"/>
      <c r="P24" s="340"/>
      <c r="Q24" s="342"/>
      <c r="R24" s="341"/>
    </row>
    <row r="25" spans="1:18" ht="12.75" customHeight="1" x14ac:dyDescent="0.2">
      <c r="A25" s="295" t="s">
        <v>697</v>
      </c>
      <c r="B25" s="296" t="s">
        <v>807</v>
      </c>
      <c r="C25" s="322"/>
      <c r="D25" s="328">
        <f t="shared" si="0"/>
        <v>0</v>
      </c>
      <c r="E25" s="297" t="s">
        <v>937</v>
      </c>
      <c r="F25" s="312">
        <f t="shared" si="1"/>
        <v>0</v>
      </c>
      <c r="G25" s="342"/>
      <c r="H25" s="340"/>
      <c r="I25" s="340"/>
      <c r="J25" s="340"/>
      <c r="K25" s="340"/>
      <c r="L25" s="340"/>
      <c r="M25" s="340"/>
      <c r="N25" s="340"/>
      <c r="O25" s="340"/>
      <c r="P25" s="340"/>
      <c r="Q25" s="342"/>
      <c r="R25" s="341"/>
    </row>
    <row r="26" spans="1:18" ht="12.75" customHeight="1" x14ac:dyDescent="0.2">
      <c r="A26" s="295" t="s">
        <v>808</v>
      </c>
      <c r="B26" s="296" t="s">
        <v>809</v>
      </c>
      <c r="C26" s="322">
        <v>-225096.05</v>
      </c>
      <c r="D26" s="328">
        <f t="shared" si="0"/>
        <v>-177649.37000000011</v>
      </c>
      <c r="E26" s="331" t="s">
        <v>139</v>
      </c>
      <c r="F26" s="328">
        <f t="shared" si="1"/>
        <v>47446.679999999869</v>
      </c>
      <c r="G26" s="340">
        <f>-C3</f>
        <v>47446.679999999869</v>
      </c>
      <c r="H26" s="340"/>
      <c r="I26" s="340"/>
      <c r="J26" s="340"/>
      <c r="K26" s="340"/>
      <c r="L26" s="340"/>
      <c r="M26" s="340"/>
      <c r="N26" s="340"/>
      <c r="O26" s="340"/>
      <c r="P26" s="340"/>
      <c r="Q26" s="342"/>
      <c r="R26" s="341"/>
    </row>
    <row r="27" spans="1:18" ht="12.75" customHeight="1" x14ac:dyDescent="0.2">
      <c r="A27" s="295" t="s">
        <v>943</v>
      </c>
      <c r="B27" s="296" t="s">
        <v>964</v>
      </c>
      <c r="C27" s="322">
        <v>-44251.88</v>
      </c>
      <c r="D27" s="328">
        <f t="shared" si="0"/>
        <v>-44251.88</v>
      </c>
      <c r="E27" s="297"/>
      <c r="F27" s="312">
        <f t="shared" si="1"/>
        <v>0</v>
      </c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2"/>
      <c r="R27" s="341"/>
    </row>
    <row r="28" spans="1:18" ht="12.75" customHeight="1" x14ac:dyDescent="0.2">
      <c r="A28" s="300" t="s">
        <v>810</v>
      </c>
      <c r="B28" s="301" t="s">
        <v>811</v>
      </c>
      <c r="C28" s="322">
        <v>-560634.36</v>
      </c>
      <c r="D28" s="328">
        <f t="shared" si="0"/>
        <v>-560482.93999999994</v>
      </c>
      <c r="E28" s="331" t="s">
        <v>939</v>
      </c>
      <c r="F28" s="328">
        <f t="shared" si="1"/>
        <v>151.41999999999999</v>
      </c>
      <c r="G28" s="340">
        <v>151.41999999999999</v>
      </c>
      <c r="H28" s="340"/>
      <c r="I28" s="340"/>
      <c r="J28" s="340"/>
      <c r="K28" s="340"/>
      <c r="L28" s="340"/>
      <c r="M28" s="340"/>
      <c r="N28" s="340"/>
      <c r="O28" s="340"/>
      <c r="P28" s="340"/>
      <c r="Q28" s="342"/>
      <c r="R28" s="341"/>
    </row>
    <row r="29" spans="1:18" ht="12.75" customHeight="1" thickBot="1" x14ac:dyDescent="0.25">
      <c r="A29" s="303" t="s">
        <v>812</v>
      </c>
      <c r="B29" s="304" t="s">
        <v>813</v>
      </c>
      <c r="C29" s="321"/>
      <c r="D29" s="329">
        <f t="shared" si="0"/>
        <v>0</v>
      </c>
      <c r="E29" s="305"/>
      <c r="F29" s="313">
        <f t="shared" si="1"/>
        <v>0</v>
      </c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4"/>
      <c r="R29" s="345"/>
    </row>
    <row r="30" spans="1:18" ht="12.75" customHeight="1" x14ac:dyDescent="0.2">
      <c r="A30" s="306"/>
      <c r="B30" s="307"/>
      <c r="C30" s="323"/>
      <c r="D30" s="323"/>
      <c r="E30" s="308"/>
      <c r="F30" s="314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</row>
    <row r="31" spans="1:18" ht="12.75" customHeight="1" thickBot="1" x14ac:dyDescent="0.25">
      <c r="A31" s="303"/>
      <c r="B31" s="304"/>
      <c r="C31" s="324"/>
      <c r="D31" s="324"/>
      <c r="E31" s="305"/>
      <c r="F31" s="315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</row>
    <row r="32" spans="1:18" ht="12.75" customHeight="1" x14ac:dyDescent="0.2">
      <c r="A32" s="291" t="s">
        <v>822</v>
      </c>
      <c r="B32" s="291" t="s">
        <v>823</v>
      </c>
      <c r="C32" s="322"/>
      <c r="D32" s="328">
        <f t="shared" ref="D32:D64" si="2">+C32+F32</f>
        <v>0</v>
      </c>
      <c r="E32" s="297"/>
      <c r="F32" s="312">
        <f>SUM(G32:R32)</f>
        <v>0</v>
      </c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2"/>
      <c r="R32" s="341"/>
    </row>
    <row r="33" spans="1:18" ht="12.75" customHeight="1" x14ac:dyDescent="0.2">
      <c r="A33" s="291" t="s">
        <v>824</v>
      </c>
      <c r="B33" s="291" t="s">
        <v>966</v>
      </c>
      <c r="C33" s="325">
        <v>-88240.54</v>
      </c>
      <c r="D33" s="330">
        <f t="shared" si="2"/>
        <v>-88240.54</v>
      </c>
      <c r="E33" s="297"/>
      <c r="F33" s="312">
        <f>SUM(G33:R33)</f>
        <v>0</v>
      </c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2"/>
      <c r="R33" s="341"/>
    </row>
    <row r="34" spans="1:18" ht="12.75" customHeight="1" x14ac:dyDescent="0.2">
      <c r="A34" s="291" t="s">
        <v>825</v>
      </c>
      <c r="B34" s="291" t="s">
        <v>826</v>
      </c>
      <c r="C34" s="325"/>
      <c r="D34" s="330">
        <f t="shared" si="2"/>
        <v>0</v>
      </c>
      <c r="E34" s="297"/>
      <c r="F34" s="312">
        <f t="shared" ref="F34:F52" si="3">SUM(G34:R34)</f>
        <v>0</v>
      </c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2"/>
      <c r="R34" s="341"/>
    </row>
    <row r="35" spans="1:18" ht="12.75" customHeight="1" x14ac:dyDescent="0.2">
      <c r="A35" s="291" t="s">
        <v>827</v>
      </c>
      <c r="B35" s="291" t="s">
        <v>967</v>
      </c>
      <c r="C35" s="325">
        <v>-1617.88</v>
      </c>
      <c r="D35" s="330">
        <f t="shared" si="2"/>
        <v>-1617.88</v>
      </c>
      <c r="E35" s="297"/>
      <c r="F35" s="312">
        <f t="shared" si="3"/>
        <v>0</v>
      </c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2"/>
      <c r="R35" s="341"/>
    </row>
    <row r="36" spans="1:18" ht="12.75" customHeight="1" x14ac:dyDescent="0.2">
      <c r="A36" s="291" t="s">
        <v>828</v>
      </c>
      <c r="B36" s="291" t="s">
        <v>782</v>
      </c>
      <c r="C36" s="325">
        <v>-12</v>
      </c>
      <c r="D36" s="330">
        <f t="shared" si="2"/>
        <v>-12</v>
      </c>
      <c r="E36" s="297"/>
      <c r="F36" s="312">
        <f t="shared" si="3"/>
        <v>0</v>
      </c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2"/>
      <c r="R36" s="341"/>
    </row>
    <row r="37" spans="1:18" ht="12.75" customHeight="1" x14ac:dyDescent="0.2">
      <c r="A37" s="295" t="s">
        <v>829</v>
      </c>
      <c r="B37" s="295" t="s">
        <v>830</v>
      </c>
      <c r="C37" s="325"/>
      <c r="D37" s="330">
        <f t="shared" si="2"/>
        <v>0</v>
      </c>
      <c r="E37" s="297"/>
      <c r="F37" s="312">
        <f t="shared" si="3"/>
        <v>0</v>
      </c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2"/>
      <c r="R37" s="341"/>
    </row>
    <row r="38" spans="1:18" ht="12.75" customHeight="1" x14ac:dyDescent="0.2">
      <c r="A38" s="295" t="s">
        <v>831</v>
      </c>
      <c r="B38" s="296" t="s">
        <v>832</v>
      </c>
      <c r="C38" s="353">
        <v>-1594.8</v>
      </c>
      <c r="D38" s="354">
        <f t="shared" si="2"/>
        <v>-1489.58</v>
      </c>
      <c r="E38" s="297"/>
      <c r="F38" s="312">
        <f t="shared" si="3"/>
        <v>105.22</v>
      </c>
      <c r="G38" s="340">
        <v>105.22</v>
      </c>
      <c r="H38" s="340"/>
      <c r="I38" s="340"/>
      <c r="J38" s="340"/>
      <c r="K38" s="340"/>
      <c r="L38" s="340"/>
      <c r="M38" s="340"/>
      <c r="N38" s="340"/>
      <c r="O38" s="340"/>
      <c r="P38" s="340"/>
      <c r="Q38" s="342"/>
      <c r="R38" s="341"/>
    </row>
    <row r="39" spans="1:18" ht="12.75" customHeight="1" x14ac:dyDescent="0.2">
      <c r="A39" s="295" t="s">
        <v>833</v>
      </c>
      <c r="B39" s="296" t="s">
        <v>834</v>
      </c>
      <c r="C39" s="325"/>
      <c r="D39" s="330">
        <f t="shared" si="2"/>
        <v>0</v>
      </c>
      <c r="E39" s="297"/>
      <c r="F39" s="312">
        <f t="shared" si="3"/>
        <v>0</v>
      </c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2"/>
      <c r="R39" s="341"/>
    </row>
    <row r="40" spans="1:18" ht="12.75" customHeight="1" x14ac:dyDescent="0.2">
      <c r="A40" s="295" t="s">
        <v>835</v>
      </c>
      <c r="B40" s="296" t="s">
        <v>836</v>
      </c>
      <c r="C40" s="325">
        <v>-730.8</v>
      </c>
      <c r="D40" s="330">
        <f t="shared" si="2"/>
        <v>-730.8</v>
      </c>
      <c r="E40" s="297"/>
      <c r="F40" s="312">
        <f t="shared" si="3"/>
        <v>0</v>
      </c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2"/>
      <c r="R40" s="341"/>
    </row>
    <row r="41" spans="1:18" ht="12.75" customHeight="1" x14ac:dyDescent="0.2">
      <c r="A41" s="295" t="s">
        <v>837</v>
      </c>
      <c r="B41" s="296" t="s">
        <v>838</v>
      </c>
      <c r="C41" s="325"/>
      <c r="D41" s="330">
        <f t="shared" si="2"/>
        <v>0</v>
      </c>
      <c r="E41" s="297"/>
      <c r="F41" s="312">
        <f t="shared" si="3"/>
        <v>0</v>
      </c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2"/>
      <c r="R41" s="341"/>
    </row>
    <row r="42" spans="1:18" ht="12.75" customHeight="1" x14ac:dyDescent="0.2">
      <c r="A42" s="295" t="s">
        <v>839</v>
      </c>
      <c r="B42" s="296" t="s">
        <v>5</v>
      </c>
      <c r="C42" s="325"/>
      <c r="D42" s="330">
        <f t="shared" si="2"/>
        <v>0</v>
      </c>
      <c r="E42" s="297"/>
      <c r="F42" s="312">
        <f t="shared" si="3"/>
        <v>0</v>
      </c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2"/>
      <c r="R42" s="341"/>
    </row>
    <row r="43" spans="1:18" ht="12.75" customHeight="1" x14ac:dyDescent="0.2">
      <c r="A43" s="295" t="s">
        <v>840</v>
      </c>
      <c r="B43" s="296" t="s">
        <v>6</v>
      </c>
      <c r="C43" s="325"/>
      <c r="D43" s="330">
        <f t="shared" si="2"/>
        <v>0</v>
      </c>
      <c r="E43" s="297"/>
      <c r="F43" s="312">
        <f t="shared" si="3"/>
        <v>0</v>
      </c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2"/>
      <c r="R43" s="341"/>
    </row>
    <row r="44" spans="1:18" ht="12.75" customHeight="1" x14ac:dyDescent="0.2">
      <c r="A44" s="295" t="s">
        <v>841</v>
      </c>
      <c r="B44" s="296" t="s">
        <v>92</v>
      </c>
      <c r="C44" s="325"/>
      <c r="D44" s="330">
        <f t="shared" si="2"/>
        <v>0</v>
      </c>
      <c r="E44" s="297"/>
      <c r="F44" s="312">
        <f t="shared" si="3"/>
        <v>0</v>
      </c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2"/>
      <c r="R44" s="341"/>
    </row>
    <row r="45" spans="1:18" ht="12.75" customHeight="1" x14ac:dyDescent="0.2">
      <c r="A45" s="295" t="s">
        <v>842</v>
      </c>
      <c r="B45" s="296" t="s">
        <v>843</v>
      </c>
      <c r="C45" s="325">
        <v>-100355.22</v>
      </c>
      <c r="D45" s="330">
        <f t="shared" si="2"/>
        <v>-100355.22</v>
      </c>
      <c r="E45" s="297"/>
      <c r="F45" s="312">
        <f t="shared" si="3"/>
        <v>0</v>
      </c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2"/>
      <c r="R45" s="341"/>
    </row>
    <row r="46" spans="1:18" ht="12.75" customHeight="1" x14ac:dyDescent="0.2">
      <c r="A46" s="295" t="s">
        <v>959</v>
      </c>
      <c r="B46" s="296" t="s">
        <v>960</v>
      </c>
      <c r="C46" s="325"/>
      <c r="D46" s="330">
        <f t="shared" si="2"/>
        <v>0</v>
      </c>
      <c r="E46" s="297"/>
      <c r="F46" s="312">
        <f t="shared" si="3"/>
        <v>0</v>
      </c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2"/>
      <c r="R46" s="341"/>
    </row>
    <row r="47" spans="1:18" ht="12.75" customHeight="1" x14ac:dyDescent="0.2">
      <c r="A47" s="295" t="s">
        <v>844</v>
      </c>
      <c r="B47" s="296" t="s">
        <v>845</v>
      </c>
      <c r="C47" s="325"/>
      <c r="D47" s="330">
        <f t="shared" si="2"/>
        <v>0</v>
      </c>
      <c r="E47" s="297"/>
      <c r="F47" s="312">
        <f t="shared" si="3"/>
        <v>0</v>
      </c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2"/>
      <c r="R47" s="341"/>
    </row>
    <row r="48" spans="1:18" ht="12.75" customHeight="1" x14ac:dyDescent="0.2">
      <c r="A48" s="295" t="s">
        <v>846</v>
      </c>
      <c r="B48" s="296" t="s">
        <v>847</v>
      </c>
      <c r="C48" s="325"/>
      <c r="D48" s="330">
        <f t="shared" si="2"/>
        <v>0</v>
      </c>
      <c r="E48" s="297"/>
      <c r="F48" s="312">
        <f t="shared" si="3"/>
        <v>0</v>
      </c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2"/>
      <c r="R48" s="341"/>
    </row>
    <row r="49" spans="1:18" ht="12.75" customHeight="1" x14ac:dyDescent="0.2">
      <c r="A49" s="295" t="s">
        <v>848</v>
      </c>
      <c r="B49" s="296" t="s">
        <v>849</v>
      </c>
      <c r="C49" s="325"/>
      <c r="D49" s="330">
        <f t="shared" si="2"/>
        <v>0</v>
      </c>
      <c r="E49" s="297"/>
      <c r="F49" s="312">
        <f t="shared" si="3"/>
        <v>0</v>
      </c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2"/>
      <c r="R49" s="341"/>
    </row>
    <row r="50" spans="1:18" ht="12.75" customHeight="1" x14ac:dyDescent="0.2">
      <c r="A50" s="298" t="s">
        <v>975</v>
      </c>
      <c r="B50" s="298" t="s">
        <v>989</v>
      </c>
      <c r="C50" s="325">
        <v>-525</v>
      </c>
      <c r="D50" s="330">
        <f t="shared" si="2"/>
        <v>-525</v>
      </c>
      <c r="E50" s="297"/>
      <c r="F50" s="312">
        <f t="shared" si="3"/>
        <v>0</v>
      </c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2"/>
      <c r="R50" s="341"/>
    </row>
    <row r="51" spans="1:18" ht="12.75" customHeight="1" x14ac:dyDescent="0.2">
      <c r="A51" s="298" t="s">
        <v>976</v>
      </c>
      <c r="B51" s="298" t="s">
        <v>990</v>
      </c>
      <c r="C51" s="325"/>
      <c r="D51" s="330">
        <f t="shared" si="2"/>
        <v>0</v>
      </c>
      <c r="E51" s="297"/>
      <c r="F51" s="312">
        <f t="shared" si="3"/>
        <v>0</v>
      </c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2"/>
      <c r="R51" s="341"/>
    </row>
    <row r="52" spans="1:18" ht="12.75" customHeight="1" x14ac:dyDescent="0.2">
      <c r="A52" s="298" t="s">
        <v>977</v>
      </c>
      <c r="B52" s="298" t="s">
        <v>991</v>
      </c>
      <c r="C52" s="325"/>
      <c r="D52" s="330">
        <f t="shared" si="2"/>
        <v>0</v>
      </c>
      <c r="E52" s="297"/>
      <c r="F52" s="312">
        <f t="shared" si="3"/>
        <v>0</v>
      </c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2"/>
      <c r="R52" s="341"/>
    </row>
    <row r="53" spans="1:18" ht="12.75" customHeight="1" x14ac:dyDescent="0.2">
      <c r="A53" s="298" t="s">
        <v>1019</v>
      </c>
      <c r="B53" s="298" t="s">
        <v>1020</v>
      </c>
      <c r="C53" s="325"/>
      <c r="D53" s="330"/>
      <c r="E53" s="297"/>
      <c r="F53" s="312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2"/>
      <c r="R53" s="341"/>
    </row>
    <row r="54" spans="1:18" ht="12.75" customHeight="1" x14ac:dyDescent="0.2">
      <c r="A54" s="295" t="s">
        <v>850</v>
      </c>
      <c r="B54" s="296" t="s">
        <v>968</v>
      </c>
      <c r="C54" s="355">
        <v>17932.5</v>
      </c>
      <c r="D54" s="356">
        <f t="shared" si="2"/>
        <v>20520</v>
      </c>
      <c r="E54" s="331"/>
      <c r="F54" s="328">
        <f>SUM(G54:R54)</f>
        <v>2587.5</v>
      </c>
      <c r="G54" s="340"/>
      <c r="H54" s="340">
        <v>855</v>
      </c>
      <c r="I54" s="340">
        <v>900</v>
      </c>
      <c r="J54" s="340">
        <v>832.5</v>
      </c>
      <c r="K54" s="340"/>
      <c r="L54" s="340"/>
      <c r="M54" s="340"/>
      <c r="N54" s="340"/>
      <c r="O54" s="340"/>
      <c r="P54" s="340"/>
      <c r="Q54" s="340"/>
      <c r="R54" s="341"/>
    </row>
    <row r="55" spans="1:18" ht="12.75" customHeight="1" x14ac:dyDescent="0.2">
      <c r="A55" s="295" t="s">
        <v>851</v>
      </c>
      <c r="B55" s="296" t="s">
        <v>852</v>
      </c>
      <c r="C55" s="355"/>
      <c r="D55" s="356">
        <f t="shared" si="2"/>
        <v>0</v>
      </c>
      <c r="E55" s="297"/>
      <c r="F55" s="312">
        <f t="shared" ref="F55:F100" si="4">SUM(G55:R55)</f>
        <v>0</v>
      </c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2"/>
      <c r="R55" s="341"/>
    </row>
    <row r="56" spans="1:18" ht="12.75" customHeight="1" x14ac:dyDescent="0.2">
      <c r="A56" s="295" t="s">
        <v>853</v>
      </c>
      <c r="B56" s="296" t="s">
        <v>854</v>
      </c>
      <c r="C56" s="355"/>
      <c r="D56" s="356">
        <f t="shared" si="2"/>
        <v>0</v>
      </c>
      <c r="E56" s="297"/>
      <c r="F56" s="312">
        <f t="shared" si="4"/>
        <v>0</v>
      </c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2"/>
      <c r="R56" s="341"/>
    </row>
    <row r="57" spans="1:18" ht="12.75" customHeight="1" x14ac:dyDescent="0.2">
      <c r="A57" s="295" t="s">
        <v>855</v>
      </c>
      <c r="B57" s="296" t="s">
        <v>856</v>
      </c>
      <c r="C57" s="355"/>
      <c r="D57" s="356">
        <f t="shared" si="2"/>
        <v>0</v>
      </c>
      <c r="E57" s="297"/>
      <c r="F57" s="312">
        <f t="shared" si="4"/>
        <v>0</v>
      </c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2"/>
      <c r="R57" s="341"/>
    </row>
    <row r="58" spans="1:18" ht="12.75" customHeight="1" x14ac:dyDescent="0.2">
      <c r="A58" s="295" t="s">
        <v>857</v>
      </c>
      <c r="B58" s="296" t="s">
        <v>858</v>
      </c>
      <c r="C58" s="355">
        <v>20275.48</v>
      </c>
      <c r="D58" s="356">
        <f t="shared" si="2"/>
        <v>20275.48</v>
      </c>
      <c r="E58" s="297"/>
      <c r="F58" s="312">
        <f t="shared" si="4"/>
        <v>0</v>
      </c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2"/>
      <c r="R58" s="341"/>
    </row>
    <row r="59" spans="1:18" ht="12.75" customHeight="1" x14ac:dyDescent="0.2">
      <c r="A59" s="295" t="s">
        <v>702</v>
      </c>
      <c r="B59" s="296" t="s">
        <v>969</v>
      </c>
      <c r="C59" s="355">
        <v>3899.09</v>
      </c>
      <c r="D59" s="356">
        <f t="shared" si="2"/>
        <v>3899.09</v>
      </c>
      <c r="E59" s="297"/>
      <c r="F59" s="312">
        <f t="shared" si="4"/>
        <v>0</v>
      </c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2"/>
      <c r="R59" s="341"/>
    </row>
    <row r="60" spans="1:18" ht="12.75" customHeight="1" x14ac:dyDescent="0.2">
      <c r="A60" s="295" t="s">
        <v>859</v>
      </c>
      <c r="B60" s="296" t="s">
        <v>860</v>
      </c>
      <c r="C60" s="355">
        <v>931.31</v>
      </c>
      <c r="D60" s="356">
        <f t="shared" si="2"/>
        <v>931.31</v>
      </c>
      <c r="E60" s="331"/>
      <c r="F60" s="328">
        <f t="shared" si="4"/>
        <v>0</v>
      </c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2"/>
      <c r="R60" s="341"/>
    </row>
    <row r="61" spans="1:18" ht="12.75" customHeight="1" x14ac:dyDescent="0.2">
      <c r="A61" s="295" t="s">
        <v>861</v>
      </c>
      <c r="B61" s="296" t="s">
        <v>862</v>
      </c>
      <c r="C61" s="355">
        <v>7011</v>
      </c>
      <c r="D61" s="356">
        <f t="shared" si="2"/>
        <v>7011</v>
      </c>
      <c r="E61" s="297"/>
      <c r="F61" s="312">
        <f t="shared" si="4"/>
        <v>0</v>
      </c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2"/>
      <c r="R61" s="341"/>
    </row>
    <row r="62" spans="1:18" ht="12.75" customHeight="1" x14ac:dyDescent="0.2">
      <c r="A62" s="295" t="s">
        <v>863</v>
      </c>
      <c r="B62" s="296" t="s">
        <v>864</v>
      </c>
      <c r="C62" s="355"/>
      <c r="D62" s="356">
        <f t="shared" si="2"/>
        <v>0</v>
      </c>
      <c r="E62" s="297"/>
      <c r="F62" s="312">
        <f t="shared" si="4"/>
        <v>0</v>
      </c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2"/>
      <c r="R62" s="341"/>
    </row>
    <row r="63" spans="1:18" ht="12.75" customHeight="1" x14ac:dyDescent="0.2">
      <c r="A63" s="295" t="s">
        <v>865</v>
      </c>
      <c r="B63" s="296" t="s">
        <v>866</v>
      </c>
      <c r="C63" s="355"/>
      <c r="D63" s="356">
        <f t="shared" si="2"/>
        <v>0</v>
      </c>
      <c r="E63" s="297"/>
      <c r="F63" s="312">
        <f t="shared" si="4"/>
        <v>0</v>
      </c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2"/>
      <c r="R63" s="341"/>
    </row>
    <row r="64" spans="1:18" ht="12.75" customHeight="1" x14ac:dyDescent="0.2">
      <c r="A64" s="295" t="s">
        <v>867</v>
      </c>
      <c r="B64" s="296" t="s">
        <v>868</v>
      </c>
      <c r="C64" s="355"/>
      <c r="D64" s="356">
        <f t="shared" si="2"/>
        <v>0</v>
      </c>
      <c r="E64" s="297"/>
      <c r="F64" s="312">
        <f t="shared" si="4"/>
        <v>0</v>
      </c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2"/>
      <c r="R64" s="341"/>
    </row>
    <row r="65" spans="1:18" ht="12.75" customHeight="1" x14ac:dyDescent="0.2">
      <c r="A65" s="295" t="s">
        <v>869</v>
      </c>
      <c r="B65" s="296" t="s">
        <v>870</v>
      </c>
      <c r="C65" s="355">
        <v>1016.96</v>
      </c>
      <c r="D65" s="356">
        <f t="shared" ref="D65:D95" si="5">+C65+F65</f>
        <v>1016.96</v>
      </c>
      <c r="E65" s="297"/>
      <c r="F65" s="312">
        <f t="shared" si="4"/>
        <v>0</v>
      </c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2"/>
      <c r="R65" s="341"/>
    </row>
    <row r="66" spans="1:18" ht="12.75" customHeight="1" x14ac:dyDescent="0.2">
      <c r="A66" s="295" t="s">
        <v>871</v>
      </c>
      <c r="B66" s="296" t="s">
        <v>870</v>
      </c>
      <c r="C66" s="355"/>
      <c r="D66" s="356">
        <f t="shared" si="5"/>
        <v>0</v>
      </c>
      <c r="E66" s="297"/>
      <c r="F66" s="312">
        <f t="shared" si="4"/>
        <v>0</v>
      </c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2"/>
      <c r="R66" s="341"/>
    </row>
    <row r="67" spans="1:18" ht="12.75" customHeight="1" x14ac:dyDescent="0.2">
      <c r="A67" s="295" t="s">
        <v>872</v>
      </c>
      <c r="B67" s="296" t="s">
        <v>873</v>
      </c>
      <c r="C67" s="355"/>
      <c r="D67" s="356">
        <f t="shared" si="5"/>
        <v>0</v>
      </c>
      <c r="E67" s="297"/>
      <c r="F67" s="312">
        <f t="shared" si="4"/>
        <v>0</v>
      </c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2"/>
      <c r="R67" s="341"/>
    </row>
    <row r="68" spans="1:18" ht="12.75" customHeight="1" x14ac:dyDescent="0.2">
      <c r="A68" s="295" t="s">
        <v>874</v>
      </c>
      <c r="B68" s="296" t="s">
        <v>875</v>
      </c>
      <c r="C68" s="355"/>
      <c r="D68" s="356">
        <f t="shared" si="5"/>
        <v>0</v>
      </c>
      <c r="E68" s="297"/>
      <c r="F68" s="312">
        <f t="shared" si="4"/>
        <v>0</v>
      </c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2"/>
      <c r="R68" s="341"/>
    </row>
    <row r="69" spans="1:18" ht="12.75" customHeight="1" x14ac:dyDescent="0.2">
      <c r="A69" s="295" t="s">
        <v>924</v>
      </c>
      <c r="B69" s="296" t="s">
        <v>925</v>
      </c>
      <c r="C69" s="355">
        <v>2916.49</v>
      </c>
      <c r="D69" s="356">
        <f t="shared" si="5"/>
        <v>2919.33</v>
      </c>
      <c r="E69" s="297"/>
      <c r="F69" s="312">
        <f t="shared" si="4"/>
        <v>2.84</v>
      </c>
      <c r="G69" s="340"/>
      <c r="H69" s="340"/>
      <c r="I69" s="340"/>
      <c r="J69" s="340">
        <v>2.84</v>
      </c>
      <c r="K69" s="340"/>
      <c r="L69" s="340"/>
      <c r="M69" s="340"/>
      <c r="N69" s="340"/>
      <c r="O69" s="340"/>
      <c r="P69" s="340"/>
      <c r="Q69" s="342"/>
      <c r="R69" s="341"/>
    </row>
    <row r="70" spans="1:18" ht="12.75" customHeight="1" x14ac:dyDescent="0.2">
      <c r="A70" s="295" t="s">
        <v>876</v>
      </c>
      <c r="B70" s="296" t="s">
        <v>877</v>
      </c>
      <c r="C70" s="355"/>
      <c r="D70" s="356">
        <f t="shared" si="5"/>
        <v>0</v>
      </c>
      <c r="E70" s="297"/>
      <c r="F70" s="312">
        <f t="shared" si="4"/>
        <v>0</v>
      </c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2"/>
      <c r="R70" s="341"/>
    </row>
    <row r="71" spans="1:18" ht="12.75" customHeight="1" x14ac:dyDescent="0.2">
      <c r="A71" s="295" t="s">
        <v>878</v>
      </c>
      <c r="B71" s="296" t="s">
        <v>5</v>
      </c>
      <c r="C71" s="355">
        <v>7839.55</v>
      </c>
      <c r="D71" s="356">
        <f t="shared" si="5"/>
        <v>7843.66</v>
      </c>
      <c r="E71" s="297"/>
      <c r="F71" s="312">
        <f t="shared" si="4"/>
        <v>4.1100000000000003</v>
      </c>
      <c r="G71" s="340"/>
      <c r="H71" s="340"/>
      <c r="I71" s="340"/>
      <c r="J71" s="340">
        <v>4.1100000000000003</v>
      </c>
      <c r="K71" s="340"/>
      <c r="L71" s="340"/>
      <c r="M71" s="340"/>
      <c r="N71" s="340"/>
      <c r="O71" s="340"/>
      <c r="P71" s="340"/>
      <c r="Q71" s="342"/>
      <c r="R71" s="341"/>
    </row>
    <row r="72" spans="1:18" ht="12.75" customHeight="1" x14ac:dyDescent="0.2">
      <c r="A72" s="295" t="s">
        <v>879</v>
      </c>
      <c r="B72" s="296" t="s">
        <v>880</v>
      </c>
      <c r="C72" s="355"/>
      <c r="D72" s="356">
        <f t="shared" si="5"/>
        <v>0</v>
      </c>
      <c r="E72" s="297"/>
      <c r="F72" s="312">
        <f t="shared" si="4"/>
        <v>0</v>
      </c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2"/>
      <c r="R72" s="341"/>
    </row>
    <row r="73" spans="1:18" ht="12.75" customHeight="1" x14ac:dyDescent="0.2">
      <c r="A73" s="295" t="s">
        <v>961</v>
      </c>
      <c r="B73" s="296" t="s">
        <v>962</v>
      </c>
      <c r="C73" s="325"/>
      <c r="D73" s="330">
        <f t="shared" si="5"/>
        <v>0</v>
      </c>
      <c r="E73" s="297"/>
      <c r="F73" s="312">
        <f t="shared" si="4"/>
        <v>0</v>
      </c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2"/>
      <c r="R73" s="341"/>
    </row>
    <row r="74" spans="1:18" ht="12.75" customHeight="1" x14ac:dyDescent="0.2">
      <c r="A74" s="295" t="s">
        <v>973</v>
      </c>
      <c r="B74" s="296" t="s">
        <v>972</v>
      </c>
      <c r="C74" s="355">
        <v>20120</v>
      </c>
      <c r="D74" s="356">
        <f t="shared" si="5"/>
        <v>20120</v>
      </c>
      <c r="E74" s="297"/>
      <c r="F74" s="312">
        <f t="shared" si="4"/>
        <v>0</v>
      </c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2"/>
      <c r="R74" s="341"/>
    </row>
    <row r="75" spans="1:18" ht="12.75" customHeight="1" x14ac:dyDescent="0.2">
      <c r="A75" s="295" t="s">
        <v>881</v>
      </c>
      <c r="B75" s="296" t="s">
        <v>730</v>
      </c>
      <c r="C75" s="355">
        <v>1646.34</v>
      </c>
      <c r="D75" s="356">
        <f t="shared" si="5"/>
        <v>1729.36</v>
      </c>
      <c r="E75" s="331"/>
      <c r="F75" s="328">
        <f>SUM(G75:R75)</f>
        <v>83.02</v>
      </c>
      <c r="G75" s="340"/>
      <c r="H75" s="340">
        <v>49.54</v>
      </c>
      <c r="I75" s="340">
        <v>33.479999999999997</v>
      </c>
      <c r="J75" s="340"/>
      <c r="K75" s="340"/>
      <c r="L75" s="340"/>
      <c r="M75" s="340"/>
      <c r="N75" s="340"/>
      <c r="O75" s="340"/>
      <c r="P75" s="340"/>
      <c r="Q75" s="340"/>
      <c r="R75" s="341"/>
    </row>
    <row r="76" spans="1:18" ht="12.75" customHeight="1" x14ac:dyDescent="0.2">
      <c r="A76" s="295" t="s">
        <v>882</v>
      </c>
      <c r="B76" s="296" t="s">
        <v>883</v>
      </c>
      <c r="C76" s="355"/>
      <c r="D76" s="356">
        <f t="shared" si="5"/>
        <v>0</v>
      </c>
      <c r="E76" s="331"/>
      <c r="F76" s="332">
        <f t="shared" si="4"/>
        <v>0</v>
      </c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2"/>
      <c r="R76" s="341"/>
    </row>
    <row r="77" spans="1:18" ht="12.75" customHeight="1" x14ac:dyDescent="0.2">
      <c r="A77" s="295" t="s">
        <v>914</v>
      </c>
      <c r="B77" s="296" t="s">
        <v>916</v>
      </c>
      <c r="C77" s="355"/>
      <c r="D77" s="356">
        <f t="shared" si="5"/>
        <v>0</v>
      </c>
      <c r="E77" s="297"/>
      <c r="F77" s="312">
        <f t="shared" si="4"/>
        <v>0</v>
      </c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2"/>
      <c r="R77" s="341"/>
    </row>
    <row r="78" spans="1:18" ht="12.75" customHeight="1" x14ac:dyDescent="0.2">
      <c r="A78" s="295" t="s">
        <v>915</v>
      </c>
      <c r="B78" s="296" t="s">
        <v>917</v>
      </c>
      <c r="C78" s="355"/>
      <c r="D78" s="356">
        <f t="shared" si="5"/>
        <v>0</v>
      </c>
      <c r="E78" s="297"/>
      <c r="F78" s="312">
        <f t="shared" si="4"/>
        <v>0</v>
      </c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2"/>
      <c r="R78" s="341"/>
    </row>
    <row r="79" spans="1:18" ht="12.75" customHeight="1" x14ac:dyDescent="0.2">
      <c r="A79" s="295" t="s">
        <v>921</v>
      </c>
      <c r="B79" s="296" t="s">
        <v>922</v>
      </c>
      <c r="C79" s="355"/>
      <c r="D79" s="356">
        <f t="shared" si="5"/>
        <v>0</v>
      </c>
      <c r="E79" s="297"/>
      <c r="F79" s="312">
        <f t="shared" si="4"/>
        <v>0</v>
      </c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2"/>
      <c r="R79" s="341"/>
    </row>
    <row r="80" spans="1:18" ht="12.75" customHeight="1" x14ac:dyDescent="0.2">
      <c r="A80" s="295" t="s">
        <v>700</v>
      </c>
      <c r="B80" s="296" t="s">
        <v>884</v>
      </c>
      <c r="C80" s="355">
        <v>372.81</v>
      </c>
      <c r="D80" s="356">
        <f t="shared" si="5"/>
        <v>372.81</v>
      </c>
      <c r="E80" s="297"/>
      <c r="F80" s="312">
        <f t="shared" si="4"/>
        <v>0</v>
      </c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2"/>
      <c r="R80" s="341"/>
    </row>
    <row r="81" spans="1:18" ht="12.75" customHeight="1" x14ac:dyDescent="0.2">
      <c r="A81" s="295" t="s">
        <v>601</v>
      </c>
      <c r="B81" s="296" t="s">
        <v>885</v>
      </c>
      <c r="C81" s="355"/>
      <c r="D81" s="356">
        <f t="shared" si="5"/>
        <v>0</v>
      </c>
      <c r="E81" s="297"/>
      <c r="F81" s="312">
        <f t="shared" si="4"/>
        <v>0</v>
      </c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2"/>
      <c r="R81" s="341"/>
    </row>
    <row r="82" spans="1:18" ht="12.75" customHeight="1" x14ac:dyDescent="0.2">
      <c r="A82" s="295" t="s">
        <v>886</v>
      </c>
      <c r="B82" s="296" t="s">
        <v>887</v>
      </c>
      <c r="C82" s="355">
        <v>18.91</v>
      </c>
      <c r="D82" s="356">
        <f t="shared" si="5"/>
        <v>18.91</v>
      </c>
      <c r="E82" s="297"/>
      <c r="F82" s="312">
        <f t="shared" si="4"/>
        <v>0</v>
      </c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2"/>
      <c r="R82" s="341"/>
    </row>
    <row r="83" spans="1:18" ht="12.75" customHeight="1" x14ac:dyDescent="0.2">
      <c r="A83" s="295" t="s">
        <v>282</v>
      </c>
      <c r="B83" s="296" t="s">
        <v>888</v>
      </c>
      <c r="C83" s="355"/>
      <c r="D83" s="356">
        <f t="shared" si="5"/>
        <v>0</v>
      </c>
      <c r="E83" s="297"/>
      <c r="F83" s="312">
        <f t="shared" si="4"/>
        <v>0</v>
      </c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2"/>
      <c r="R83" s="341"/>
    </row>
    <row r="84" spans="1:18" ht="12.75" customHeight="1" x14ac:dyDescent="0.2">
      <c r="A84" s="295" t="s">
        <v>889</v>
      </c>
      <c r="B84" s="296" t="s">
        <v>890</v>
      </c>
      <c r="C84" s="355">
        <v>1000</v>
      </c>
      <c r="D84" s="356">
        <f t="shared" si="5"/>
        <v>1300</v>
      </c>
      <c r="E84" s="331"/>
      <c r="F84" s="328">
        <f t="shared" si="4"/>
        <v>300</v>
      </c>
      <c r="G84" s="340"/>
      <c r="H84" s="340"/>
      <c r="I84" s="340">
        <v>300</v>
      </c>
      <c r="J84" s="340"/>
      <c r="K84" s="340"/>
      <c r="L84" s="340"/>
      <c r="M84" s="340"/>
      <c r="N84" s="340"/>
      <c r="O84" s="340"/>
      <c r="P84" s="340"/>
      <c r="Q84" s="342"/>
      <c r="R84" s="341"/>
    </row>
    <row r="85" spans="1:18" ht="12.75" customHeight="1" x14ac:dyDescent="0.2">
      <c r="A85" s="291" t="s">
        <v>891</v>
      </c>
      <c r="B85" s="296" t="s">
        <v>892</v>
      </c>
      <c r="C85" s="355">
        <v>244.26</v>
      </c>
      <c r="D85" s="356">
        <f t="shared" si="5"/>
        <v>244.26</v>
      </c>
      <c r="E85" s="297"/>
      <c r="F85" s="312">
        <f t="shared" si="4"/>
        <v>0</v>
      </c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2"/>
      <c r="R85" s="341"/>
    </row>
    <row r="86" spans="1:18" ht="12.75" customHeight="1" x14ac:dyDescent="0.2">
      <c r="A86" s="295" t="s">
        <v>704</v>
      </c>
      <c r="B86" s="296" t="s">
        <v>893</v>
      </c>
      <c r="C86" s="355"/>
      <c r="D86" s="356">
        <f t="shared" si="5"/>
        <v>0</v>
      </c>
      <c r="E86" s="297"/>
      <c r="F86" s="312">
        <f t="shared" si="4"/>
        <v>0</v>
      </c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2"/>
      <c r="R86" s="341"/>
    </row>
    <row r="87" spans="1:18" ht="12.75" customHeight="1" x14ac:dyDescent="0.2">
      <c r="A87" s="295" t="s">
        <v>894</v>
      </c>
      <c r="B87" s="296" t="s">
        <v>3</v>
      </c>
      <c r="C87" s="355"/>
      <c r="D87" s="356">
        <f t="shared" si="5"/>
        <v>0</v>
      </c>
      <c r="E87" s="297"/>
      <c r="F87" s="312">
        <f t="shared" si="4"/>
        <v>0</v>
      </c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2"/>
      <c r="R87" s="341"/>
    </row>
    <row r="88" spans="1:18" ht="12.75" customHeight="1" x14ac:dyDescent="0.2">
      <c r="A88" s="295" t="s">
        <v>895</v>
      </c>
      <c r="B88" s="296" t="s">
        <v>896</v>
      </c>
      <c r="C88" s="355"/>
      <c r="D88" s="356">
        <f t="shared" si="5"/>
        <v>0</v>
      </c>
      <c r="E88" s="297"/>
      <c r="F88" s="312">
        <f t="shared" si="4"/>
        <v>0</v>
      </c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2"/>
      <c r="R88" s="341"/>
    </row>
    <row r="89" spans="1:18" ht="12.75" customHeight="1" x14ac:dyDescent="0.2">
      <c r="A89" s="295" t="s">
        <v>897</v>
      </c>
      <c r="B89" s="296" t="s">
        <v>92</v>
      </c>
      <c r="C89" s="355"/>
      <c r="D89" s="356">
        <f t="shared" si="5"/>
        <v>0</v>
      </c>
      <c r="E89" s="297"/>
      <c r="F89" s="312">
        <f t="shared" si="4"/>
        <v>0</v>
      </c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2"/>
      <c r="R89" s="341"/>
    </row>
    <row r="90" spans="1:18" ht="12.75" customHeight="1" x14ac:dyDescent="0.2">
      <c r="A90" s="295" t="s">
        <v>291</v>
      </c>
      <c r="B90" s="296" t="s">
        <v>14</v>
      </c>
      <c r="C90" s="355">
        <v>1222.3900000000001</v>
      </c>
      <c r="D90" s="356">
        <f t="shared" si="5"/>
        <v>1458.97</v>
      </c>
      <c r="E90" s="331"/>
      <c r="F90" s="328">
        <f t="shared" si="4"/>
        <v>236.58</v>
      </c>
      <c r="G90" s="340"/>
      <c r="H90" s="340">
        <v>11.32</v>
      </c>
      <c r="I90" s="340">
        <v>30.4</v>
      </c>
      <c r="J90" s="340">
        <v>194.86</v>
      </c>
      <c r="K90" s="340"/>
      <c r="L90" s="340"/>
      <c r="M90" s="340"/>
      <c r="N90" s="340"/>
      <c r="O90" s="340"/>
      <c r="P90" s="340"/>
      <c r="Q90" s="342"/>
      <c r="R90" s="341"/>
    </row>
    <row r="91" spans="1:18" ht="12.75" customHeight="1" x14ac:dyDescent="0.2">
      <c r="A91" s="295" t="s">
        <v>898</v>
      </c>
      <c r="B91" s="296" t="s">
        <v>970</v>
      </c>
      <c r="C91" s="355">
        <v>14214</v>
      </c>
      <c r="D91" s="356">
        <f t="shared" si="5"/>
        <v>14214</v>
      </c>
      <c r="E91" s="297"/>
      <c r="F91" s="312">
        <f t="shared" si="4"/>
        <v>0</v>
      </c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2"/>
      <c r="R91" s="341"/>
    </row>
    <row r="92" spans="1:18" ht="12.75" customHeight="1" x14ac:dyDescent="0.2">
      <c r="A92" s="295" t="s">
        <v>372</v>
      </c>
      <c r="B92" s="296" t="s">
        <v>164</v>
      </c>
      <c r="C92" s="355"/>
      <c r="D92" s="356">
        <f t="shared" si="5"/>
        <v>0</v>
      </c>
      <c r="E92" s="297"/>
      <c r="F92" s="312">
        <f t="shared" si="4"/>
        <v>0</v>
      </c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2"/>
      <c r="R92" s="341"/>
    </row>
    <row r="93" spans="1:18" ht="12.75" customHeight="1" x14ac:dyDescent="0.2">
      <c r="A93" s="295" t="s">
        <v>899</v>
      </c>
      <c r="B93" s="296" t="s">
        <v>15</v>
      </c>
      <c r="C93" s="355">
        <v>2179.44</v>
      </c>
      <c r="D93" s="356">
        <f t="shared" si="5"/>
        <v>2476.21</v>
      </c>
      <c r="E93" s="331"/>
      <c r="F93" s="328">
        <f t="shared" si="4"/>
        <v>296.77</v>
      </c>
      <c r="G93" s="340"/>
      <c r="H93" s="340"/>
      <c r="I93" s="340">
        <v>150</v>
      </c>
      <c r="J93" s="340">
        <v>146.77000000000001</v>
      </c>
      <c r="K93" s="340"/>
      <c r="L93" s="340"/>
      <c r="M93" s="340"/>
      <c r="N93" s="340"/>
      <c r="O93" s="340"/>
      <c r="P93" s="340"/>
      <c r="Q93" s="342"/>
      <c r="R93" s="341"/>
    </row>
    <row r="94" spans="1:18" ht="12.75" customHeight="1" x14ac:dyDescent="0.2">
      <c r="A94" s="295" t="s">
        <v>900</v>
      </c>
      <c r="B94" s="296" t="s">
        <v>983</v>
      </c>
      <c r="C94" s="355"/>
      <c r="D94" s="356">
        <f t="shared" si="5"/>
        <v>0</v>
      </c>
      <c r="E94" s="331"/>
      <c r="F94" s="328">
        <f t="shared" si="4"/>
        <v>0</v>
      </c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2"/>
      <c r="R94" s="341"/>
    </row>
    <row r="95" spans="1:18" ht="12.75" customHeight="1" x14ac:dyDescent="0.2">
      <c r="A95" s="298" t="s">
        <v>978</v>
      </c>
      <c r="B95" s="291" t="s">
        <v>992</v>
      </c>
      <c r="C95" s="355"/>
      <c r="D95" s="356">
        <f t="shared" si="5"/>
        <v>0</v>
      </c>
      <c r="E95" s="309"/>
      <c r="F95" s="312">
        <f t="shared" si="4"/>
        <v>0</v>
      </c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2"/>
      <c r="R95" s="341"/>
    </row>
    <row r="96" spans="1:18" ht="12.75" customHeight="1" x14ac:dyDescent="0.2">
      <c r="A96" s="298" t="s">
        <v>979</v>
      </c>
      <c r="B96" s="291" t="s">
        <v>993</v>
      </c>
      <c r="C96" s="355"/>
      <c r="D96" s="356">
        <f t="shared" ref="D96:D111" si="6">+C96+F96</f>
        <v>0</v>
      </c>
      <c r="E96" s="331"/>
      <c r="F96" s="328">
        <f t="shared" si="4"/>
        <v>0</v>
      </c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2"/>
      <c r="R96" s="341"/>
    </row>
    <row r="97" spans="1:18" ht="12.75" customHeight="1" x14ac:dyDescent="0.2">
      <c r="A97" s="298" t="s">
        <v>980</v>
      </c>
      <c r="B97" s="291" t="s">
        <v>994</v>
      </c>
      <c r="C97" s="355"/>
      <c r="D97" s="356">
        <f t="shared" si="6"/>
        <v>0</v>
      </c>
      <c r="E97" s="297"/>
      <c r="F97" s="312">
        <f t="shared" si="4"/>
        <v>0</v>
      </c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2"/>
      <c r="R97" s="341"/>
    </row>
    <row r="98" spans="1:18" ht="12.75" customHeight="1" x14ac:dyDescent="0.2">
      <c r="A98" s="298" t="s">
        <v>981</v>
      </c>
      <c r="B98" s="291" t="s">
        <v>995</v>
      </c>
      <c r="C98" s="355"/>
      <c r="D98" s="356">
        <f t="shared" si="6"/>
        <v>0</v>
      </c>
      <c r="E98" s="297"/>
      <c r="F98" s="312">
        <f t="shared" si="4"/>
        <v>0</v>
      </c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2"/>
      <c r="R98" s="341"/>
    </row>
    <row r="99" spans="1:18" ht="12.75" customHeight="1" x14ac:dyDescent="0.2">
      <c r="A99" s="298" t="s">
        <v>984</v>
      </c>
      <c r="B99" s="291" t="s">
        <v>996</v>
      </c>
      <c r="C99" s="355"/>
      <c r="D99" s="356">
        <f t="shared" si="6"/>
        <v>0</v>
      </c>
      <c r="E99" s="297"/>
      <c r="F99" s="312">
        <f t="shared" si="4"/>
        <v>0</v>
      </c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2"/>
      <c r="R99" s="341"/>
    </row>
    <row r="100" spans="1:18" ht="12.75" customHeight="1" x14ac:dyDescent="0.2">
      <c r="A100" s="298" t="s">
        <v>982</v>
      </c>
      <c r="B100" s="291" t="s">
        <v>997</v>
      </c>
      <c r="C100" s="355"/>
      <c r="D100" s="356">
        <f t="shared" si="6"/>
        <v>0</v>
      </c>
      <c r="E100" s="297"/>
      <c r="F100" s="312">
        <f t="shared" si="4"/>
        <v>0</v>
      </c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2"/>
      <c r="R100" s="341"/>
    </row>
    <row r="101" spans="1:18" ht="12.75" customHeight="1" x14ac:dyDescent="0.2">
      <c r="A101" s="298" t="s">
        <v>1022</v>
      </c>
      <c r="B101" s="291" t="s">
        <v>1023</v>
      </c>
      <c r="C101" s="355"/>
      <c r="D101" s="356"/>
      <c r="E101" s="297"/>
      <c r="F101" s="312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2"/>
      <c r="R101" s="341"/>
    </row>
    <row r="102" spans="1:18" ht="12.75" customHeight="1" x14ac:dyDescent="0.2">
      <c r="A102" s="298" t="s">
        <v>1021</v>
      </c>
      <c r="B102" s="291" t="s">
        <v>1020</v>
      </c>
      <c r="C102" s="355"/>
      <c r="D102" s="356"/>
      <c r="E102" s="297"/>
      <c r="F102" s="312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2"/>
      <c r="R102" s="341"/>
    </row>
    <row r="103" spans="1:18" ht="12.75" customHeight="1" x14ac:dyDescent="0.2">
      <c r="A103" s="295" t="s">
        <v>901</v>
      </c>
      <c r="B103" s="296" t="s">
        <v>902</v>
      </c>
      <c r="C103" s="355">
        <v>950.86</v>
      </c>
      <c r="D103" s="356">
        <f t="shared" si="6"/>
        <v>950.86</v>
      </c>
      <c r="E103" s="297"/>
      <c r="F103" s="312">
        <f t="shared" ref="F103:F108" si="7">SUM(G103:R103)</f>
        <v>0</v>
      </c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2"/>
      <c r="R103" s="341"/>
    </row>
    <row r="104" spans="1:18" ht="12.75" customHeight="1" x14ac:dyDescent="0.2">
      <c r="A104" s="295" t="s">
        <v>903</v>
      </c>
      <c r="B104" s="296" t="s">
        <v>739</v>
      </c>
      <c r="C104" s="355">
        <v>1325.44</v>
      </c>
      <c r="D104" s="356">
        <f t="shared" si="6"/>
        <v>1325.44</v>
      </c>
      <c r="E104" s="331"/>
      <c r="F104" s="328">
        <f t="shared" si="7"/>
        <v>0</v>
      </c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2"/>
      <c r="R104" s="341"/>
    </row>
    <row r="105" spans="1:18" ht="12.75" customHeight="1" x14ac:dyDescent="0.2">
      <c r="A105" s="300" t="s">
        <v>918</v>
      </c>
      <c r="B105" s="301" t="s">
        <v>971</v>
      </c>
      <c r="C105" s="355"/>
      <c r="D105" s="356">
        <f t="shared" si="6"/>
        <v>0</v>
      </c>
      <c r="E105" s="302"/>
      <c r="F105" s="312">
        <f t="shared" si="7"/>
        <v>0</v>
      </c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2"/>
      <c r="R105" s="341"/>
    </row>
    <row r="106" spans="1:18" ht="12.75" customHeight="1" x14ac:dyDescent="0.2">
      <c r="A106" s="300" t="s">
        <v>904</v>
      </c>
      <c r="B106" s="301" t="s">
        <v>905</v>
      </c>
      <c r="C106" s="355">
        <v>13500</v>
      </c>
      <c r="D106" s="356">
        <f t="shared" si="6"/>
        <v>13500</v>
      </c>
      <c r="E106" s="297"/>
      <c r="F106" s="312">
        <f t="shared" si="7"/>
        <v>0</v>
      </c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2"/>
      <c r="R106" s="341"/>
    </row>
    <row r="107" spans="1:18" ht="12.75" customHeight="1" x14ac:dyDescent="0.2">
      <c r="A107" s="300" t="s">
        <v>906</v>
      </c>
      <c r="B107" s="301" t="s">
        <v>907</v>
      </c>
      <c r="C107" s="355">
        <v>25245</v>
      </c>
      <c r="D107" s="356">
        <f t="shared" si="6"/>
        <v>25245</v>
      </c>
      <c r="E107" s="297"/>
      <c r="F107" s="312">
        <f t="shared" si="7"/>
        <v>0</v>
      </c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2"/>
      <c r="R107" s="341"/>
    </row>
    <row r="108" spans="1:18" ht="12.75" customHeight="1" x14ac:dyDescent="0.2">
      <c r="A108" s="300" t="s">
        <v>908</v>
      </c>
      <c r="B108" s="301" t="s">
        <v>909</v>
      </c>
      <c r="C108" s="355">
        <v>1595.98</v>
      </c>
      <c r="D108" s="356">
        <f t="shared" si="6"/>
        <v>1675.83</v>
      </c>
      <c r="E108" s="331"/>
      <c r="F108" s="328">
        <f t="shared" si="7"/>
        <v>79.849999999999994</v>
      </c>
      <c r="G108" s="340"/>
      <c r="H108" s="340">
        <v>57.21</v>
      </c>
      <c r="I108" s="340"/>
      <c r="J108" s="340">
        <v>22.64</v>
      </c>
      <c r="K108" s="340"/>
      <c r="L108" s="340"/>
      <c r="M108" s="340"/>
      <c r="N108" s="340"/>
      <c r="O108" s="340"/>
      <c r="P108" s="340"/>
      <c r="Q108" s="342"/>
      <c r="R108" s="341"/>
    </row>
    <row r="109" spans="1:18" ht="12.75" customHeight="1" x14ac:dyDescent="0.2">
      <c r="A109" s="300" t="s">
        <v>910</v>
      </c>
      <c r="B109" s="301" t="s">
        <v>911</v>
      </c>
      <c r="C109" s="355">
        <v>104.1</v>
      </c>
      <c r="D109" s="356">
        <f t="shared" si="6"/>
        <v>104.1</v>
      </c>
      <c r="E109" s="331"/>
      <c r="F109" s="332">
        <f t="shared" ref="F109:F111" si="8">SUM(G109:R109)</f>
        <v>0</v>
      </c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2"/>
      <c r="R109" s="341"/>
    </row>
    <row r="110" spans="1:18" ht="12.75" customHeight="1" x14ac:dyDescent="0.2">
      <c r="A110" s="300" t="s">
        <v>912</v>
      </c>
      <c r="B110" s="301" t="s">
        <v>821</v>
      </c>
      <c r="C110" s="355">
        <v>31.24</v>
      </c>
      <c r="D110" s="356">
        <f t="shared" si="6"/>
        <v>31.24</v>
      </c>
      <c r="E110" s="302"/>
      <c r="F110" s="312">
        <f t="shared" si="8"/>
        <v>0</v>
      </c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2"/>
      <c r="R110" s="341"/>
    </row>
    <row r="111" spans="1:18" ht="12.75" customHeight="1" thickBot="1" x14ac:dyDescent="0.25">
      <c r="A111" s="303" t="s">
        <v>919</v>
      </c>
      <c r="B111" s="304" t="s">
        <v>920</v>
      </c>
      <c r="C111" s="357"/>
      <c r="D111" s="358">
        <f t="shared" si="6"/>
        <v>0</v>
      </c>
      <c r="E111" s="305"/>
      <c r="F111" s="313">
        <f t="shared" si="8"/>
        <v>0</v>
      </c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4"/>
      <c r="R111" s="345"/>
    </row>
    <row r="112" spans="1:18" ht="11.1" customHeight="1" x14ac:dyDescent="0.2">
      <c r="C112" s="326"/>
      <c r="D112" s="326"/>
      <c r="E112" s="309"/>
      <c r="F112" s="310"/>
      <c r="G112" s="348"/>
      <c r="N112" s="327"/>
      <c r="O112" s="327"/>
    </row>
    <row r="113" spans="3:18" ht="11.1" customHeight="1" x14ac:dyDescent="0.2">
      <c r="C113" s="326"/>
      <c r="D113" s="326">
        <f>SUM(D32:D111)</f>
        <v>-43787.200000000026</v>
      </c>
      <c r="E113" s="309"/>
      <c r="F113" s="311"/>
      <c r="G113" s="349">
        <f>SUM(G4:G111)</f>
        <v>47446.679999999869</v>
      </c>
      <c r="H113" s="327">
        <f>SUM(H4:H111)</f>
        <v>-5.6843418860808015E-14</v>
      </c>
      <c r="I113" s="327">
        <f t="shared" ref="I113:R113" si="9">SUM(I4:I111)</f>
        <v>0</v>
      </c>
      <c r="J113" s="327">
        <f t="shared" si="9"/>
        <v>0</v>
      </c>
      <c r="K113" s="327">
        <f t="shared" si="9"/>
        <v>0</v>
      </c>
      <c r="L113" s="327">
        <f t="shared" si="9"/>
        <v>0</v>
      </c>
      <c r="M113" s="327">
        <f t="shared" si="9"/>
        <v>0</v>
      </c>
      <c r="N113" s="327">
        <f t="shared" si="9"/>
        <v>0</v>
      </c>
      <c r="O113" s="327">
        <f t="shared" si="9"/>
        <v>0</v>
      </c>
      <c r="P113" s="327">
        <f t="shared" si="9"/>
        <v>0</v>
      </c>
      <c r="Q113" s="327">
        <f t="shared" si="9"/>
        <v>0</v>
      </c>
      <c r="R113" s="327">
        <f t="shared" si="9"/>
        <v>0</v>
      </c>
    </row>
    <row r="114" spans="3:18" ht="11.1" customHeight="1" x14ac:dyDescent="0.2">
      <c r="C114" s="326"/>
      <c r="D114" s="326"/>
      <c r="E114" s="309"/>
      <c r="F114" s="311"/>
      <c r="G114" s="349"/>
      <c r="N114" s="327"/>
      <c r="O114" s="327"/>
    </row>
    <row r="115" spans="3:18" ht="11.1" customHeight="1" x14ac:dyDescent="0.2">
      <c r="C115" s="326"/>
      <c r="D115" s="326">
        <f>ROUND(SUM(D4:D111),2)</f>
        <v>0</v>
      </c>
      <c r="E115" s="309"/>
      <c r="F115" s="311"/>
      <c r="G115" s="349"/>
      <c r="N115" s="327"/>
      <c r="O115" s="327"/>
    </row>
    <row r="116" spans="3:18" ht="11.1" customHeight="1" x14ac:dyDescent="0.2">
      <c r="C116" s="326"/>
      <c r="D116" s="32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April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April'!Print_Area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Anna Mizerska</cp:lastModifiedBy>
  <cp:lastPrinted>2016-08-10T10:08:37Z</cp:lastPrinted>
  <dcterms:created xsi:type="dcterms:W3CDTF">2009-02-26T10:12:44Z</dcterms:created>
  <dcterms:modified xsi:type="dcterms:W3CDTF">2017-05-08T15:13:05Z</dcterms:modified>
</cp:coreProperties>
</file>